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2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comments5.xml" ContentType="application/vnd.openxmlformats-officedocument.spreadsheetml.comment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1-STATISTIQUES\01_STATS_MISSION_SYNTHESES\12 COMITES DE LECTURE\SY Compensation démog 2023 _ 28 mars 2025\A diffuser\"/>
    </mc:Choice>
  </mc:AlternateContent>
  <xr:revisionPtr revIDLastSave="0" documentId="13_ncr:1_{04A8D866-AF5F-41BB-8FE5-81AF8DE27F02}" xr6:coauthVersionLast="47" xr6:coauthVersionMax="47" xr10:uidLastSave="{00000000-0000-0000-0000-000000000000}"/>
  <bookViews>
    <workbookView xWindow="-110" yWindow="-110" windowWidth="19420" windowHeight="10300" tabRatio="749" xr2:uid="{00000000-000D-0000-FFFF-FFFF00000000}"/>
  </bookViews>
  <sheets>
    <sheet name="Compensation démographique" sheetId="62" r:id="rId1"/>
    <sheet name="Préface" sheetId="61" r:id="rId2"/>
    <sheet name="Compléter avc fascic acompte ok" sheetId="1" r:id="rId3"/>
    <sheet name="Regimes ok" sheetId="25" r:id="rId4"/>
    <sheet name="Effectifs ok" sheetId="19" r:id="rId5"/>
    <sheet name="DonnéesGraph ok" sheetId="33" r:id="rId6"/>
    <sheet name="Tabl1&amp;2 ok" sheetId="24" r:id="rId7"/>
    <sheet name="Graph1_CotPv ok" sheetId="37" r:id="rId8"/>
    <sheet name="Graph1_CotPv 2" sheetId="57" state="hidden" r:id="rId9"/>
    <sheet name="Graph2_Retr ok" sheetId="38" r:id="rId10"/>
    <sheet name="Graph2_Retr 2" sheetId="56" state="hidden" r:id="rId11"/>
    <sheet name="Graph3_NSA ok" sheetId="54" r:id="rId12"/>
    <sheet name="Graph3_NSA (2) NU" sheetId="55" state="hidden" r:id="rId13"/>
    <sheet name="Graph4_SA ok" sheetId="39" r:id="rId14"/>
    <sheet name="Graph4_SA (2) NU" sheetId="49" state="hidden" r:id="rId15"/>
    <sheet name="Graph5_RSI ok" sheetId="41" r:id="rId16"/>
    <sheet name="Graph6_RG ok" sheetId="43" r:id="rId17"/>
    <sheet name="Graph7_RappDemo ok" sheetId="44" r:id="rId18"/>
    <sheet name="Graph7_RappDemo FT AC" sheetId="58" state="hidden" r:id="rId19"/>
    <sheet name="TransfertCompDemo_1 ok" sheetId="13" r:id="rId20"/>
    <sheet name="TransfertCompDemo_2 ok " sheetId="15" r:id="rId21"/>
    <sheet name="Graph8_TranfComDemo ok" sheetId="45" r:id="rId22"/>
    <sheet name="(Graph9_TranfComDemo) (2) ok" sheetId="50" r:id="rId23"/>
    <sheet name="DonnéesGraph9&amp;10 ok" sheetId="36" r:id="rId24"/>
    <sheet name="Graph9 ok" sheetId="46" r:id="rId25"/>
    <sheet name="Graph9 FT ko" sheetId="59" state="hidden" r:id="rId26"/>
    <sheet name="Graph10 ok" sheetId="47" r:id="rId27"/>
    <sheet name="Graph10 FT ko" sheetId="60" state="hidden" r:id="rId28"/>
    <sheet name="Graph11_NSA (3) ok" sheetId="52" r:id="rId29"/>
    <sheet name="Graph12_SA (3) ok" sheetId="53" r:id="rId30"/>
    <sheet name="Graph13_TranfComDemo (3) ok" sheetId="51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23" hidden="1">'DonnéesGraph9&amp;10 ok'!$D$2:$F$8</definedName>
    <definedName name="_xlnm.Print_Area" localSheetId="19">'TransfertCompDemo_1 ok'!$A$1:$M$28</definedName>
    <definedName name="_xlnm.Print_Area" localSheetId="20">'TransfertCompDemo_2 ok '!$A$1:$J$13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19" l="1"/>
  <c r="B131" i="24"/>
  <c r="B130" i="24"/>
  <c r="B129" i="24"/>
  <c r="B128" i="24"/>
  <c r="B127" i="24"/>
  <c r="B121" i="24"/>
  <c r="B119" i="24"/>
  <c r="B120" i="24"/>
  <c r="Y23" i="19"/>
  <c r="Z3" i="1"/>
  <c r="Y6" i="1" l="1"/>
  <c r="Y10" i="1" s="1"/>
  <c r="E11" i="36"/>
  <c r="E9" i="36"/>
  <c r="E8" i="36"/>
  <c r="E7" i="36"/>
  <c r="E6" i="36"/>
  <c r="E5" i="36"/>
  <c r="E4" i="36"/>
  <c r="E3" i="36"/>
  <c r="E2" i="36"/>
  <c r="B9" i="36"/>
  <c r="B8" i="36"/>
  <c r="B7" i="36"/>
  <c r="B6" i="36"/>
  <c r="B5" i="36"/>
  <c r="B4" i="36"/>
  <c r="B3" i="36"/>
  <c r="B2" i="36"/>
  <c r="Y12" i="15"/>
  <c r="AG8" i="15"/>
  <c r="AG7" i="15"/>
  <c r="AG4" i="15"/>
  <c r="AG3" i="15"/>
  <c r="AG6" i="15"/>
  <c r="AG10" i="15"/>
  <c r="AG11" i="15"/>
  <c r="AG12" i="15" s="1"/>
  <c r="Y3" i="15"/>
  <c r="Y4" i="15"/>
  <c r="Y6" i="15" s="1"/>
  <c r="Y7" i="15"/>
  <c r="Y8" i="15"/>
  <c r="Y10" i="15"/>
  <c r="AO28" i="13"/>
  <c r="AM27" i="13"/>
  <c r="AN27" i="13" s="1"/>
  <c r="AO25" i="13"/>
  <c r="AP25" i="13" s="1"/>
  <c r="AP23" i="13"/>
  <c r="AP22" i="13"/>
  <c r="AP21" i="13"/>
  <c r="AP19" i="13"/>
  <c r="AP15" i="13"/>
  <c r="AP14" i="13"/>
  <c r="AP13" i="13"/>
  <c r="AP12" i="13"/>
  <c r="AP11" i="13"/>
  <c r="AP10" i="13"/>
  <c r="AP9" i="13"/>
  <c r="AP8" i="13"/>
  <c r="AP7" i="13"/>
  <c r="AP6" i="13"/>
  <c r="AP5" i="13"/>
  <c r="AP4" i="13"/>
  <c r="AP3" i="13"/>
  <c r="AN25" i="13"/>
  <c r="AN23" i="13"/>
  <c r="AN22" i="13"/>
  <c r="AN21" i="13"/>
  <c r="AN19" i="13"/>
  <c r="AN18" i="13"/>
  <c r="AN15" i="13"/>
  <c r="AN14" i="13"/>
  <c r="AN13" i="13"/>
  <c r="AN12" i="13"/>
  <c r="AN11" i="13"/>
  <c r="AN10" i="13"/>
  <c r="AN9" i="13"/>
  <c r="AN8" i="13"/>
  <c r="AN7" i="13"/>
  <c r="AN6" i="13"/>
  <c r="AN5" i="13"/>
  <c r="AN4" i="13"/>
  <c r="AN3" i="13"/>
  <c r="AM18" i="13"/>
  <c r="Y11" i="15" l="1"/>
  <c r="AP27" i="13"/>
  <c r="G63" i="13" l="1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G86" i="13"/>
  <c r="H86" i="13"/>
  <c r="I86" i="13"/>
  <c r="J86" i="13"/>
  <c r="K86" i="13"/>
  <c r="L86" i="13"/>
  <c r="M86" i="13"/>
  <c r="N86" i="13"/>
  <c r="O86" i="13"/>
  <c r="P86" i="13"/>
  <c r="Q86" i="13"/>
  <c r="R86" i="13"/>
  <c r="S86" i="13"/>
  <c r="T86" i="13"/>
  <c r="U86" i="13"/>
  <c r="V86" i="13"/>
  <c r="W86" i="13"/>
  <c r="X86" i="13"/>
  <c r="Y86" i="13"/>
  <c r="Y33" i="13"/>
  <c r="Y18" i="15"/>
  <c r="Y21" i="15" s="1"/>
  <c r="Y19" i="15"/>
  <c r="Y22" i="15"/>
  <c r="AK23" i="13"/>
  <c r="AL23" i="13" s="1"/>
  <c r="AK22" i="13"/>
  <c r="AL22" i="13" s="1"/>
  <c r="AK19" i="13"/>
  <c r="AL19" i="13" s="1"/>
  <c r="AK21" i="13"/>
  <c r="AL21" i="13" s="1"/>
  <c r="AK15" i="13"/>
  <c r="AL15" i="13" s="1"/>
  <c r="AK14" i="13"/>
  <c r="AL14" i="13" s="1"/>
  <c r="AK13" i="13"/>
  <c r="AL13" i="13" s="1"/>
  <c r="AK12" i="13"/>
  <c r="AL12" i="13" s="1"/>
  <c r="AK11" i="13"/>
  <c r="AL11" i="13" s="1"/>
  <c r="AK10" i="13"/>
  <c r="AK9" i="13"/>
  <c r="AL9" i="13" s="1"/>
  <c r="AK8" i="13"/>
  <c r="AL8" i="13" s="1"/>
  <c r="AK7" i="13"/>
  <c r="AL7" i="13" s="1"/>
  <c r="AK6" i="13"/>
  <c r="AL6" i="13" s="1"/>
  <c r="AK5" i="13"/>
  <c r="AO18" i="13"/>
  <c r="AP18" i="13" s="1"/>
  <c r="AK4" i="13"/>
  <c r="AL4" i="13" s="1"/>
  <c r="AK3" i="13"/>
  <c r="AK25" i="13" l="1"/>
  <c r="AL25" i="13" s="1"/>
  <c r="AK27" i="13"/>
  <c r="AK18" i="13"/>
  <c r="AL10" i="13"/>
  <c r="AL5" i="13"/>
  <c r="AM25" i="13" l="1"/>
  <c r="Y30" i="13"/>
  <c r="Y18" i="13"/>
  <c r="Y48" i="13" s="1"/>
  <c r="Y25" i="13"/>
  <c r="Y55" i="13" s="1"/>
  <c r="Y27" i="13"/>
  <c r="Y53" i="13" l="1"/>
  <c r="Y42" i="13"/>
  <c r="Y34" i="13"/>
  <c r="Y54" i="13"/>
  <c r="Y43" i="13"/>
  <c r="Y35" i="13"/>
  <c r="Y52" i="13"/>
  <c r="Y41" i="13"/>
  <c r="Y51" i="13"/>
  <c r="Y40" i="13"/>
  <c r="Y49" i="13"/>
  <c r="Y39" i="13"/>
  <c r="Y38" i="13"/>
  <c r="Y45" i="13"/>
  <c r="Y37" i="13"/>
  <c r="Y44" i="13"/>
  <c r="Y36" i="13"/>
  <c r="D118" i="24"/>
  <c r="D117" i="24"/>
  <c r="B116" i="24"/>
  <c r="D126" i="24"/>
  <c r="B125" i="24"/>
  <c r="A118" i="24"/>
  <c r="AB12" i="33"/>
  <c r="AC12" i="33"/>
  <c r="AD12" i="33"/>
  <c r="AB13" i="33"/>
  <c r="AC13" i="33"/>
  <c r="AB14" i="33"/>
  <c r="AC14" i="33"/>
  <c r="AB15" i="33"/>
  <c r="AC15" i="33"/>
  <c r="AB16" i="33"/>
  <c r="AC16" i="33"/>
  <c r="AB17" i="33"/>
  <c r="AC17" i="33"/>
  <c r="AA17" i="33"/>
  <c r="AA16" i="33"/>
  <c r="AA15" i="33"/>
  <c r="AA14" i="33"/>
  <c r="AA13" i="33"/>
  <c r="AA12" i="33"/>
  <c r="AB2" i="33"/>
  <c r="AC2" i="33"/>
  <c r="AD2" i="33"/>
  <c r="AB3" i="33"/>
  <c r="AC3" i="33"/>
  <c r="AB4" i="33"/>
  <c r="AC4" i="33"/>
  <c r="AB5" i="33"/>
  <c r="AC5" i="33"/>
  <c r="AB6" i="33"/>
  <c r="AC6" i="33"/>
  <c r="AB7" i="33"/>
  <c r="AC7" i="33"/>
  <c r="AA7" i="33"/>
  <c r="AA6" i="33"/>
  <c r="AA5" i="33"/>
  <c r="AA4" i="33"/>
  <c r="AA3" i="33"/>
  <c r="AA2" i="33"/>
  <c r="Y2" i="33"/>
  <c r="X38" i="33" s="1"/>
  <c r="X43" i="33"/>
  <c r="X46" i="33"/>
  <c r="Y3" i="33"/>
  <c r="AD3" i="33" s="1"/>
  <c r="Y4" i="33"/>
  <c r="Y5" i="33"/>
  <c r="Y7" i="33"/>
  <c r="Y21" i="33" s="1"/>
  <c r="Y12" i="33"/>
  <c r="Y13" i="33"/>
  <c r="AD13" i="33" s="1"/>
  <c r="Y14" i="33"/>
  <c r="X49" i="33" s="1"/>
  <c r="Y15" i="33"/>
  <c r="X50" i="33" s="1"/>
  <c r="Y17" i="33"/>
  <c r="AD17" i="33" s="1"/>
  <c r="Y19" i="19"/>
  <c r="AC19" i="19" s="1"/>
  <c r="Y20" i="19"/>
  <c r="AC25" i="19" s="1"/>
  <c r="Y21" i="19"/>
  <c r="Y52" i="19" s="1"/>
  <c r="Y54" i="19" s="1"/>
  <c r="Y22" i="19"/>
  <c r="Y31" i="19" s="1"/>
  <c r="Y29" i="19"/>
  <c r="Y41" i="19"/>
  <c r="Y44" i="19"/>
  <c r="Y51" i="19"/>
  <c r="AB21" i="19"/>
  <c r="AB20" i="19"/>
  <c r="AB19" i="19"/>
  <c r="Z21" i="19"/>
  <c r="Z20" i="19"/>
  <c r="Z19" i="19"/>
  <c r="Y2" i="19"/>
  <c r="Y11" i="19" s="1"/>
  <c r="Y3" i="19"/>
  <c r="Y45" i="19" s="1"/>
  <c r="Y4" i="19"/>
  <c r="Y46" i="19" s="1"/>
  <c r="Y5" i="19"/>
  <c r="Y14" i="19" s="1"/>
  <c r="Y64" i="1"/>
  <c r="Y65" i="1"/>
  <c r="Y66" i="1"/>
  <c r="Y67" i="1"/>
  <c r="Y58" i="1"/>
  <c r="Y59" i="1"/>
  <c r="Y60" i="1"/>
  <c r="Y61" i="1"/>
  <c r="Y46" i="1"/>
  <c r="Y47" i="1"/>
  <c r="Y48" i="1"/>
  <c r="Y50" i="1" s="1"/>
  <c r="Y49" i="1"/>
  <c r="Y40" i="1"/>
  <c r="Y41" i="1"/>
  <c r="Y42" i="1"/>
  <c r="Y44" i="1"/>
  <c r="Y36" i="1"/>
  <c r="Y40" i="19" s="1"/>
  <c r="Y35" i="1"/>
  <c r="Y53" i="1" s="1"/>
  <c r="Y34" i="1"/>
  <c r="Y38" i="19" s="1"/>
  <c r="Y56" i="19" s="1"/>
  <c r="Y33" i="1"/>
  <c r="Y37" i="19" s="1"/>
  <c r="Y58" i="19" s="1"/>
  <c r="Z18" i="1"/>
  <c r="Z17" i="1"/>
  <c r="Z2" i="1"/>
  <c r="Y25" i="1"/>
  <c r="Y26" i="1"/>
  <c r="Y27" i="1"/>
  <c r="Y28" i="1"/>
  <c r="Y11" i="1"/>
  <c r="Y12" i="1"/>
  <c r="Y13" i="1"/>
  <c r="Y31" i="33" l="1"/>
  <c r="X52" i="33"/>
  <c r="Y29" i="33"/>
  <c r="AD7" i="33"/>
  <c r="Y24" i="33"/>
  <c r="Y23" i="33"/>
  <c r="Y53" i="19"/>
  <c r="Y32" i="33"/>
  <c r="AD15" i="33"/>
  <c r="AA21" i="19"/>
  <c r="Y30" i="19"/>
  <c r="Y71" i="19"/>
  <c r="Y70" i="19"/>
  <c r="AC21" i="19"/>
  <c r="AD14" i="33"/>
  <c r="AC20" i="19"/>
  <c r="AA20" i="19"/>
  <c r="X48" i="33"/>
  <c r="Y69" i="19"/>
  <c r="Y39" i="19"/>
  <c r="Y57" i="19" s="1"/>
  <c r="AA19" i="19"/>
  <c r="Y28" i="19"/>
  <c r="Y33" i="19" s="1"/>
  <c r="Y32" i="19" s="1"/>
  <c r="X47" i="33"/>
  <c r="Y25" i="19"/>
  <c r="Y68" i="19"/>
  <c r="Y16" i="33"/>
  <c r="AD5" i="33"/>
  <c r="X41" i="33"/>
  <c r="Y54" i="1"/>
  <c r="Y48" i="19"/>
  <c r="B115" i="24"/>
  <c r="X40" i="33"/>
  <c r="B135" i="24" s="1"/>
  <c r="AD4" i="33"/>
  <c r="X39" i="33"/>
  <c r="Y8" i="33"/>
  <c r="Y22" i="33"/>
  <c r="Y52" i="1"/>
  <c r="Y6" i="33"/>
  <c r="Y62" i="19"/>
  <c r="F115" i="24"/>
  <c r="B134" i="24"/>
  <c r="Y18" i="33"/>
  <c r="Y30" i="33"/>
  <c r="Y50" i="19"/>
  <c r="Y26" i="19"/>
  <c r="AC26" i="19" s="1"/>
  <c r="Y65" i="19"/>
  <c r="Y13" i="19"/>
  <c r="Y64" i="19"/>
  <c r="Y8" i="19"/>
  <c r="Y12" i="19"/>
  <c r="Y16" i="19" s="1"/>
  <c r="Y15" i="19" s="1"/>
  <c r="Y63" i="19"/>
  <c r="Y6" i="19"/>
  <c r="X33" i="1"/>
  <c r="X36" i="1"/>
  <c r="X34" i="1"/>
  <c r="B122" i="24" l="1"/>
  <c r="B123" i="24" s="1"/>
  <c r="Y33" i="33"/>
  <c r="C118" i="24" s="1"/>
  <c r="X51" i="33"/>
  <c r="AD16" i="33"/>
  <c r="B133" i="24"/>
  <c r="C123" i="24"/>
  <c r="F129" i="24"/>
  <c r="Y25" i="33"/>
  <c r="X42" i="33"/>
  <c r="AD6" i="33"/>
  <c r="B132" i="24" l="1"/>
  <c r="C133" i="24"/>
  <c r="X27" i="13"/>
  <c r="Y28" i="13" s="1"/>
  <c r="W27" i="13"/>
  <c r="X25" i="13"/>
  <c r="X18" i="13"/>
  <c r="AI21" i="13"/>
  <c r="AM3" i="33"/>
  <c r="B136" i="24" l="1"/>
  <c r="C121" i="24"/>
  <c r="H115" i="24"/>
  <c r="C119" i="24"/>
  <c r="C122" i="24"/>
  <c r="C116" i="24"/>
  <c r="C120" i="24"/>
  <c r="C115" i="24"/>
  <c r="C117" i="24"/>
  <c r="X38" i="19"/>
  <c r="D123" i="24" l="1"/>
  <c r="X30" i="13"/>
  <c r="AF8" i="15"/>
  <c r="X3" i="15"/>
  <c r="X4" i="15"/>
  <c r="X18" i="15" s="1"/>
  <c r="X7" i="15"/>
  <c r="X8" i="15"/>
  <c r="AI3" i="13"/>
  <c r="AI23" i="13"/>
  <c r="AI22" i="13"/>
  <c r="AI19" i="13"/>
  <c r="AI4" i="13"/>
  <c r="AI5" i="13"/>
  <c r="AI6" i="13"/>
  <c r="AI7" i="13"/>
  <c r="AI8" i="13"/>
  <c r="AI9" i="13"/>
  <c r="AI10" i="13"/>
  <c r="AI11" i="13"/>
  <c r="AI12" i="13"/>
  <c r="AI13" i="13"/>
  <c r="AI14" i="13"/>
  <c r="AI15" i="13"/>
  <c r="AG3" i="13"/>
  <c r="X53" i="13"/>
  <c r="X54" i="13"/>
  <c r="AJ3" i="13" l="1"/>
  <c r="AF3" i="15"/>
  <c r="AL3" i="13"/>
  <c r="AI25" i="13"/>
  <c r="AF4" i="15"/>
  <c r="AF7" i="15"/>
  <c r="AI27" i="13"/>
  <c r="AI18" i="13"/>
  <c r="AL18" i="13" s="1"/>
  <c r="X19" i="15"/>
  <c r="X22" i="15" s="1"/>
  <c r="X11" i="15"/>
  <c r="X51" i="13"/>
  <c r="X43" i="13"/>
  <c r="X49" i="13"/>
  <c r="X42" i="13"/>
  <c r="X34" i="13"/>
  <c r="X35" i="13"/>
  <c r="X39" i="13"/>
  <c r="X55" i="13"/>
  <c r="X38" i="13"/>
  <c r="X44" i="13"/>
  <c r="X40" i="13"/>
  <c r="X36" i="13"/>
  <c r="X48" i="13"/>
  <c r="X52" i="13"/>
  <c r="X45" i="13"/>
  <c r="X41" i="13"/>
  <c r="X37" i="13"/>
  <c r="X33" i="13"/>
  <c r="A108" i="24"/>
  <c r="AK28" i="13" l="1"/>
  <c r="AL27" i="13"/>
  <c r="AF11" i="15"/>
  <c r="AM28" i="13"/>
  <c r="X21" i="15"/>
  <c r="D93" i="24"/>
  <c r="D92" i="24"/>
  <c r="D101" i="24"/>
  <c r="B100" i="24"/>
  <c r="B91" i="24"/>
  <c r="D116" i="24" s="1"/>
  <c r="X19" i="19"/>
  <c r="M6" i="1"/>
  <c r="L6" i="1"/>
  <c r="K6" i="1"/>
  <c r="X6" i="1"/>
  <c r="AN28" i="13" l="1"/>
  <c r="AP28" i="13"/>
  <c r="X12" i="33"/>
  <c r="B103" i="24" s="1"/>
  <c r="X13" i="33"/>
  <c r="X14" i="33"/>
  <c r="X15" i="33"/>
  <c r="X17" i="33"/>
  <c r="X2" i="33"/>
  <c r="X3" i="33"/>
  <c r="X4" i="33"/>
  <c r="X5" i="33"/>
  <c r="B95" i="24" s="1"/>
  <c r="D120" i="24" s="1"/>
  <c r="X7" i="33"/>
  <c r="AC18" i="19"/>
  <c r="AB18" i="19"/>
  <c r="AA18" i="19"/>
  <c r="Z18" i="19"/>
  <c r="X41" i="19"/>
  <c r="X28" i="19"/>
  <c r="X20" i="19"/>
  <c r="X21" i="19"/>
  <c r="X22" i="19"/>
  <c r="X31" i="19" s="1"/>
  <c r="X2" i="19"/>
  <c r="X3" i="19"/>
  <c r="X4" i="19"/>
  <c r="X64" i="19" s="1"/>
  <c r="X5" i="19"/>
  <c r="W25" i="1"/>
  <c r="X25" i="1"/>
  <c r="Z16" i="1"/>
  <c r="X10" i="1"/>
  <c r="X67" i="1"/>
  <c r="X66" i="1"/>
  <c r="X65" i="1"/>
  <c r="X64" i="1"/>
  <c r="X63" i="1"/>
  <c r="X61" i="1"/>
  <c r="X60" i="1"/>
  <c r="X59" i="1"/>
  <c r="X58" i="1"/>
  <c r="X57" i="1"/>
  <c r="X51" i="1"/>
  <c r="X49" i="1"/>
  <c r="X48" i="1"/>
  <c r="X47" i="1"/>
  <c r="X46" i="1"/>
  <c r="X45" i="1"/>
  <c r="X44" i="1"/>
  <c r="X42" i="1"/>
  <c r="X41" i="1"/>
  <c r="X40" i="1"/>
  <c r="X39" i="1"/>
  <c r="X35" i="1"/>
  <c r="X32" i="1"/>
  <c r="X28" i="1"/>
  <c r="X27" i="1"/>
  <c r="X26" i="1"/>
  <c r="X24" i="1"/>
  <c r="X16" i="1"/>
  <c r="X13" i="1"/>
  <c r="X12" i="1"/>
  <c r="X11" i="1"/>
  <c r="X9" i="1"/>
  <c r="D128" i="24" l="1"/>
  <c r="X23" i="33"/>
  <c r="B90" i="24"/>
  <c r="B105" i="24"/>
  <c r="D130" i="24" s="1"/>
  <c r="B104" i="24"/>
  <c r="X70" i="19"/>
  <c r="B109" i="24"/>
  <c r="X8" i="19"/>
  <c r="X68" i="19"/>
  <c r="B94" i="24"/>
  <c r="B102" i="24"/>
  <c r="D127" i="24" s="1"/>
  <c r="X24" i="33"/>
  <c r="X71" i="19"/>
  <c r="X30" i="19"/>
  <c r="X23" i="19"/>
  <c r="X26" i="19"/>
  <c r="X39" i="19"/>
  <c r="X69" i="19"/>
  <c r="X16" i="33"/>
  <c r="X25" i="19"/>
  <c r="X29" i="19"/>
  <c r="X40" i="19"/>
  <c r="X14" i="19"/>
  <c r="X13" i="19"/>
  <c r="X65" i="19"/>
  <c r="X63" i="19"/>
  <c r="X37" i="19"/>
  <c r="X12" i="19"/>
  <c r="X62" i="19"/>
  <c r="X11" i="19"/>
  <c r="X6" i="19"/>
  <c r="X6" i="33"/>
  <c r="B96" i="24" s="1"/>
  <c r="D121" i="24" s="1"/>
  <c r="X31" i="33"/>
  <c r="X21" i="33"/>
  <c r="X22" i="33"/>
  <c r="X30" i="33"/>
  <c r="X29" i="33"/>
  <c r="X18" i="33"/>
  <c r="X32" i="33"/>
  <c r="X8" i="33"/>
  <c r="F104" i="24" l="1"/>
  <c r="D129" i="24"/>
  <c r="D115" i="24"/>
  <c r="B97" i="24"/>
  <c r="G129" i="24"/>
  <c r="H129" i="24" s="1"/>
  <c r="F114" i="24"/>
  <c r="D119" i="24"/>
  <c r="X16" i="19"/>
  <c r="X15" i="19" s="1"/>
  <c r="AL2" i="33"/>
  <c r="B110" i="24"/>
  <c r="F90" i="24"/>
  <c r="B108" i="24"/>
  <c r="C108" i="24"/>
  <c r="X33" i="33"/>
  <c r="B106" i="24"/>
  <c r="D131" i="24" s="1"/>
  <c r="X33" i="19"/>
  <c r="X32" i="19" s="1"/>
  <c r="X25" i="33"/>
  <c r="X28" i="13"/>
  <c r="AG22" i="13"/>
  <c r="AJ22" i="13" s="1"/>
  <c r="AG23" i="13"/>
  <c r="AJ23" i="13" s="1"/>
  <c r="AG21" i="13"/>
  <c r="AJ21" i="13" s="1"/>
  <c r="AG19" i="13"/>
  <c r="AJ19" i="13" s="1"/>
  <c r="AG4" i="13"/>
  <c r="AJ4" i="13" s="1"/>
  <c r="AG5" i="13"/>
  <c r="AJ5" i="13" s="1"/>
  <c r="AG6" i="13"/>
  <c r="AJ6" i="13" s="1"/>
  <c r="AG7" i="13"/>
  <c r="AJ7" i="13" s="1"/>
  <c r="AG8" i="13"/>
  <c r="AJ8" i="13" s="1"/>
  <c r="AG9" i="13"/>
  <c r="AJ9" i="13" s="1"/>
  <c r="AG10" i="13"/>
  <c r="AJ10" i="13" s="1"/>
  <c r="AG11" i="13"/>
  <c r="AJ11" i="13" s="1"/>
  <c r="AG12" i="13"/>
  <c r="AJ12" i="13" s="1"/>
  <c r="AG13" i="13"/>
  <c r="AJ13" i="13" s="1"/>
  <c r="AG14" i="13"/>
  <c r="AJ14" i="13" s="1"/>
  <c r="AG15" i="13"/>
  <c r="AJ15" i="13" s="1"/>
  <c r="AG18" i="13" l="1"/>
  <c r="AJ18" i="13" s="1"/>
  <c r="B11" i="36"/>
  <c r="AI8" i="15"/>
  <c r="AI7" i="15"/>
  <c r="AI4" i="15"/>
  <c r="AI3" i="15"/>
  <c r="W3" i="15"/>
  <c r="W4" i="15"/>
  <c r="X6" i="15" s="1"/>
  <c r="W7" i="15"/>
  <c r="X10" i="15" s="1"/>
  <c r="W8" i="15"/>
  <c r="F11" i="36" l="1"/>
  <c r="C3" i="36"/>
  <c r="C7" i="36"/>
  <c r="C5" i="36"/>
  <c r="C9" i="36"/>
  <c r="C4" i="36"/>
  <c r="C8" i="36"/>
  <c r="C6" i="36"/>
  <c r="F4" i="36"/>
  <c r="F8" i="36"/>
  <c r="F6" i="36"/>
  <c r="F9" i="36"/>
  <c r="F3" i="36"/>
  <c r="F7" i="36"/>
  <c r="F5" i="36"/>
  <c r="F2" i="36"/>
  <c r="W19" i="15"/>
  <c r="W18" i="15"/>
  <c r="C2" i="36"/>
  <c r="AI11" i="15"/>
  <c r="W11" i="15"/>
  <c r="X12" i="15" s="1"/>
  <c r="W52" i="13"/>
  <c r="W25" i="13"/>
  <c r="W18" i="13"/>
  <c r="W48" i="13" s="1"/>
  <c r="B55" i="24"/>
  <c r="W22" i="15" l="1"/>
  <c r="W21" i="15"/>
  <c r="W38" i="13"/>
  <c r="W42" i="13"/>
  <c r="W34" i="13"/>
  <c r="W53" i="13"/>
  <c r="W35" i="13"/>
  <c r="W39" i="13"/>
  <c r="W43" i="13"/>
  <c r="W49" i="13"/>
  <c r="W54" i="13"/>
  <c r="W36" i="13"/>
  <c r="W40" i="13"/>
  <c r="W44" i="13"/>
  <c r="W51" i="13"/>
  <c r="W55" i="13"/>
  <c r="W33" i="13"/>
  <c r="W37" i="13"/>
  <c r="W41" i="13"/>
  <c r="W45" i="13"/>
  <c r="W12" i="33" l="1"/>
  <c r="W13" i="33"/>
  <c r="W14" i="33"/>
  <c r="W15" i="33"/>
  <c r="W17" i="33"/>
  <c r="AN2" i="33"/>
  <c r="W2" i="33"/>
  <c r="W3" i="33"/>
  <c r="W4" i="33"/>
  <c r="W5" i="33"/>
  <c r="W7" i="33"/>
  <c r="W64" i="1"/>
  <c r="W65" i="1"/>
  <c r="W66" i="1"/>
  <c r="W67" i="1"/>
  <c r="W58" i="1"/>
  <c r="W59" i="1"/>
  <c r="W60" i="1"/>
  <c r="W61" i="1"/>
  <c r="W46" i="1"/>
  <c r="W47" i="1"/>
  <c r="W48" i="1"/>
  <c r="X50" i="1" s="1"/>
  <c r="W49" i="1"/>
  <c r="W40" i="1"/>
  <c r="W41" i="1"/>
  <c r="W42" i="1"/>
  <c r="W44" i="1"/>
  <c r="W33" i="1"/>
  <c r="W34" i="1"/>
  <c r="W35" i="1"/>
  <c r="W36" i="1"/>
  <c r="W26" i="1"/>
  <c r="W27" i="1"/>
  <c r="W28" i="1"/>
  <c r="W10" i="1"/>
  <c r="W11" i="1"/>
  <c r="W12" i="1"/>
  <c r="W13" i="1"/>
  <c r="W43" i="33" l="1"/>
  <c r="W38" i="33"/>
  <c r="B78" i="24"/>
  <c r="W49" i="33"/>
  <c r="B71" i="24"/>
  <c r="D95" i="24" s="1"/>
  <c r="W41" i="33"/>
  <c r="B80" i="24"/>
  <c r="D104" i="24" s="1"/>
  <c r="W48" i="33"/>
  <c r="W40" i="33"/>
  <c r="W32" i="33"/>
  <c r="W52" i="33"/>
  <c r="W47" i="33"/>
  <c r="B70" i="24"/>
  <c r="W39" i="33"/>
  <c r="B81" i="24"/>
  <c r="D105" i="24" s="1"/>
  <c r="W50" i="33"/>
  <c r="W21" i="33"/>
  <c r="W29" i="33"/>
  <c r="B66" i="24"/>
  <c r="W31" i="33"/>
  <c r="W24" i="33"/>
  <c r="W18" i="33"/>
  <c r="B79" i="24"/>
  <c r="W30" i="33"/>
  <c r="W23" i="33"/>
  <c r="W6" i="33"/>
  <c r="W8" i="33"/>
  <c r="W22" i="33"/>
  <c r="W16" i="33"/>
  <c r="W37" i="19"/>
  <c r="W38" i="19"/>
  <c r="W39" i="19"/>
  <c r="W40" i="19"/>
  <c r="W41" i="19"/>
  <c r="W19" i="19"/>
  <c r="W20" i="19"/>
  <c r="W21" i="19"/>
  <c r="W22" i="19"/>
  <c r="W2" i="19"/>
  <c r="W3" i="19"/>
  <c r="W4" i="19"/>
  <c r="W5" i="19"/>
  <c r="W63" i="1"/>
  <c r="W57" i="1"/>
  <c r="W51" i="1"/>
  <c r="W45" i="1"/>
  <c r="W39" i="1"/>
  <c r="W32" i="1"/>
  <c r="W24" i="1"/>
  <c r="W9" i="1"/>
  <c r="W16" i="1"/>
  <c r="W64" i="19" l="1"/>
  <c r="X48" i="19"/>
  <c r="F80" i="24"/>
  <c r="G104" i="24" s="1"/>
  <c r="D103" i="24"/>
  <c r="D94" i="24"/>
  <c r="C84" i="24"/>
  <c r="D102" i="24"/>
  <c r="B84" i="24"/>
  <c r="D90" i="24"/>
  <c r="B107" i="24"/>
  <c r="C98" i="24"/>
  <c r="W42" i="33"/>
  <c r="W51" i="33"/>
  <c r="W70" i="19"/>
  <c r="B82" i="24"/>
  <c r="D106" i="24" s="1"/>
  <c r="W33" i="33"/>
  <c r="B72" i="24"/>
  <c r="D96" i="24" s="1"/>
  <c r="W25" i="33"/>
  <c r="W62" i="19"/>
  <c r="W28" i="19"/>
  <c r="W31" i="19"/>
  <c r="W23" i="19"/>
  <c r="W68" i="19"/>
  <c r="W71" i="19"/>
  <c r="W30" i="19"/>
  <c r="W26" i="19"/>
  <c r="W25" i="19"/>
  <c r="W29" i="19"/>
  <c r="W69" i="19"/>
  <c r="W14" i="19"/>
  <c r="W13" i="19"/>
  <c r="W65" i="19"/>
  <c r="W63" i="19"/>
  <c r="W12" i="19"/>
  <c r="W8" i="19"/>
  <c r="W11" i="19"/>
  <c r="W6" i="19"/>
  <c r="AH8" i="15"/>
  <c r="AH7" i="15"/>
  <c r="AI10" i="15" s="1"/>
  <c r="AH4" i="15"/>
  <c r="AI6" i="15" s="1"/>
  <c r="AH3" i="15"/>
  <c r="AE3" i="15"/>
  <c r="V3" i="15"/>
  <c r="V8" i="15"/>
  <c r="V7" i="15"/>
  <c r="V4" i="15"/>
  <c r="B111" i="24" l="1"/>
  <c r="D132" i="24"/>
  <c r="C130" i="24"/>
  <c r="C131" i="24"/>
  <c r="C127" i="24"/>
  <c r="C128" i="24"/>
  <c r="C129" i="24"/>
  <c r="D122" i="24"/>
  <c r="G115" i="24"/>
  <c r="C102" i="24"/>
  <c r="C105" i="24"/>
  <c r="C104" i="24"/>
  <c r="C103" i="24"/>
  <c r="C106" i="24"/>
  <c r="C93" i="24"/>
  <c r="C97" i="24"/>
  <c r="C92" i="24"/>
  <c r="B98" i="24"/>
  <c r="C96" i="24"/>
  <c r="C91" i="24"/>
  <c r="C94" i="24"/>
  <c r="C95" i="24"/>
  <c r="C90" i="24"/>
  <c r="H90" i="24"/>
  <c r="W33" i="19"/>
  <c r="W32" i="19" s="1"/>
  <c r="V18" i="15"/>
  <c r="W6" i="15"/>
  <c r="V19" i="15"/>
  <c r="W10" i="15"/>
  <c r="W16" i="19"/>
  <c r="W15" i="19" s="1"/>
  <c r="V11" i="15"/>
  <c r="W12" i="15" s="1"/>
  <c r="AH11" i="15"/>
  <c r="AI12" i="15" s="1"/>
  <c r="AE23" i="13"/>
  <c r="AE22" i="13"/>
  <c r="AE21" i="13"/>
  <c r="AE19" i="13"/>
  <c r="AE15" i="13"/>
  <c r="AE14" i="13"/>
  <c r="AE13" i="13"/>
  <c r="AE12" i="13"/>
  <c r="AE11" i="13"/>
  <c r="AE10" i="13"/>
  <c r="AE9" i="13"/>
  <c r="AE8" i="13"/>
  <c r="AE7" i="13"/>
  <c r="AE6" i="13"/>
  <c r="AE5" i="13"/>
  <c r="AE4" i="13"/>
  <c r="AE3" i="13"/>
  <c r="V25" i="13"/>
  <c r="V54" i="13" s="1"/>
  <c r="V27" i="13"/>
  <c r="V18" i="13"/>
  <c r="V48" i="13" s="1"/>
  <c r="D77" i="24"/>
  <c r="B76" i="24"/>
  <c r="H75" i="24"/>
  <c r="D69" i="24"/>
  <c r="D68" i="24"/>
  <c r="B67" i="24"/>
  <c r="F89" i="24" s="1"/>
  <c r="G90" i="24" s="1"/>
  <c r="C132" i="24" l="1"/>
  <c r="V21" i="15"/>
  <c r="V22" i="15"/>
  <c r="D91" i="24"/>
  <c r="B85" i="24"/>
  <c r="W28" i="13"/>
  <c r="C74" i="24"/>
  <c r="V52" i="13"/>
  <c r="V33" i="13"/>
  <c r="V40" i="13"/>
  <c r="V51" i="13"/>
  <c r="V39" i="13"/>
  <c r="V44" i="13"/>
  <c r="V36" i="13"/>
  <c r="V43" i="13"/>
  <c r="V35" i="13"/>
  <c r="V55" i="13"/>
  <c r="V49" i="13"/>
  <c r="V42" i="13"/>
  <c r="V38" i="13"/>
  <c r="V34" i="13"/>
  <c r="V53" i="13"/>
  <c r="V45" i="13"/>
  <c r="V41" i="13"/>
  <c r="V37" i="13"/>
  <c r="AE11" i="33" l="1"/>
  <c r="AF16" i="33"/>
  <c r="AF6" i="33"/>
  <c r="AF11" i="33" l="1"/>
  <c r="AN1" i="33"/>
  <c r="AN3" i="33"/>
  <c r="AN4" i="33"/>
  <c r="V12" i="33"/>
  <c r="V13" i="33"/>
  <c r="V14" i="33"/>
  <c r="V15" i="33"/>
  <c r="V17" i="33"/>
  <c r="V2" i="33"/>
  <c r="V3" i="33"/>
  <c r="V4" i="33"/>
  <c r="V5" i="33"/>
  <c r="V7" i="33"/>
  <c r="V2" i="19"/>
  <c r="V11" i="19" s="1"/>
  <c r="V3" i="19"/>
  <c r="V4" i="19"/>
  <c r="V64" i="19" s="1"/>
  <c r="V5" i="19"/>
  <c r="V19" i="19"/>
  <c r="V20" i="19"/>
  <c r="V21" i="19"/>
  <c r="V22" i="19"/>
  <c r="V41" i="19"/>
  <c r="V64" i="1"/>
  <c r="V65" i="1"/>
  <c r="V66" i="1"/>
  <c r="V67" i="1"/>
  <c r="V58" i="1"/>
  <c r="V59" i="1"/>
  <c r="V60" i="1"/>
  <c r="V61" i="1"/>
  <c r="V46" i="1"/>
  <c r="V47" i="1"/>
  <c r="V48" i="1"/>
  <c r="V49" i="1"/>
  <c r="V40" i="1"/>
  <c r="V41" i="1"/>
  <c r="V42" i="1"/>
  <c r="V44" i="1"/>
  <c r="V33" i="1"/>
  <c r="V34" i="1"/>
  <c r="V38" i="19" s="1"/>
  <c r="V35" i="1"/>
  <c r="V36" i="1"/>
  <c r="V40" i="19" s="1"/>
  <c r="V25" i="1"/>
  <c r="V26" i="1"/>
  <c r="V27" i="1"/>
  <c r="V28" i="1"/>
  <c r="V10" i="1"/>
  <c r="V11" i="1"/>
  <c r="V12" i="1"/>
  <c r="V13" i="1"/>
  <c r="AJ3" i="33" l="1"/>
  <c r="V8" i="33"/>
  <c r="V65" i="19"/>
  <c r="W50" i="1"/>
  <c r="B45" i="24"/>
  <c r="V40" i="33"/>
  <c r="B60" i="24"/>
  <c r="V50" i="33"/>
  <c r="B49" i="24"/>
  <c r="V39" i="33"/>
  <c r="B57" i="24"/>
  <c r="D78" i="24" s="1"/>
  <c r="V49" i="33"/>
  <c r="V13" i="19"/>
  <c r="W48" i="19"/>
  <c r="V43" i="33"/>
  <c r="V38" i="33"/>
  <c r="B59" i="24"/>
  <c r="V48" i="33"/>
  <c r="V70" i="19"/>
  <c r="V39" i="19"/>
  <c r="V8" i="19"/>
  <c r="B50" i="24"/>
  <c r="V41" i="33"/>
  <c r="V52" i="33"/>
  <c r="B58" i="24"/>
  <c r="V47" i="33"/>
  <c r="V21" i="33"/>
  <c r="V62" i="19"/>
  <c r="V25" i="19"/>
  <c r="V32" i="33"/>
  <c r="V22" i="33"/>
  <c r="V30" i="33"/>
  <c r="V6" i="19"/>
  <c r="V69" i="19"/>
  <c r="V12" i="19"/>
  <c r="V37" i="19"/>
  <c r="V31" i="33"/>
  <c r="V28" i="19"/>
  <c r="B86" i="24"/>
  <c r="V26" i="19"/>
  <c r="V23" i="19"/>
  <c r="V18" i="33"/>
  <c r="V6" i="33"/>
  <c r="V24" i="33"/>
  <c r="V29" i="33"/>
  <c r="V23" i="33"/>
  <c r="V16" i="33"/>
  <c r="V63" i="19"/>
  <c r="V14" i="19"/>
  <c r="V31" i="19"/>
  <c r="V68" i="19"/>
  <c r="V30" i="19"/>
  <c r="V71" i="19"/>
  <c r="V29" i="19"/>
  <c r="K25" i="1"/>
  <c r="L25" i="1"/>
  <c r="M25" i="1"/>
  <c r="K26" i="1"/>
  <c r="L26" i="1"/>
  <c r="M26" i="1"/>
  <c r="K27" i="1"/>
  <c r="L27" i="1"/>
  <c r="M27" i="1"/>
  <c r="K28" i="1"/>
  <c r="L28" i="1"/>
  <c r="D66" i="24" l="1"/>
  <c r="AJ4" i="33"/>
  <c r="B61" i="24"/>
  <c r="V51" i="33"/>
  <c r="B51" i="24"/>
  <c r="V42" i="33"/>
  <c r="B83" i="24"/>
  <c r="B87" i="24" s="1"/>
  <c r="F66" i="24"/>
  <c r="V16" i="19"/>
  <c r="V15" i="19" s="1"/>
  <c r="B73" i="24"/>
  <c r="D97" i="24" s="1"/>
  <c r="V33" i="19"/>
  <c r="V32" i="19" s="1"/>
  <c r="V33" i="33"/>
  <c r="V25" i="33"/>
  <c r="D48" i="24"/>
  <c r="D47" i="24"/>
  <c r="D107" i="24" l="1"/>
  <c r="C81" i="24"/>
  <c r="C82" i="24"/>
  <c r="C79" i="24"/>
  <c r="C80" i="24"/>
  <c r="C72" i="24"/>
  <c r="B74" i="24"/>
  <c r="C78" i="24"/>
  <c r="C70" i="24"/>
  <c r="C69" i="24"/>
  <c r="C68" i="24"/>
  <c r="C67" i="24"/>
  <c r="C71" i="24"/>
  <c r="H66" i="24"/>
  <c r="C66" i="24"/>
  <c r="A22" i="15"/>
  <c r="A21" i="15"/>
  <c r="AE8" i="15"/>
  <c r="AE7" i="15"/>
  <c r="AE4" i="15"/>
  <c r="AE27" i="13"/>
  <c r="AC23" i="13"/>
  <c r="AC22" i="13"/>
  <c r="AC21" i="13"/>
  <c r="AC19" i="13"/>
  <c r="AF19" i="13" s="1"/>
  <c r="AC15" i="13"/>
  <c r="AC14" i="13"/>
  <c r="AC13" i="13"/>
  <c r="AC12" i="13"/>
  <c r="AC11" i="13"/>
  <c r="AC10" i="13"/>
  <c r="AC9" i="13"/>
  <c r="AC8" i="13"/>
  <c r="AC6" i="13"/>
  <c r="AC7" i="13"/>
  <c r="AC5" i="13"/>
  <c r="AC4" i="13"/>
  <c r="AC3" i="13"/>
  <c r="D74" i="24" l="1"/>
  <c r="AH6" i="15"/>
  <c r="AF6" i="15"/>
  <c r="AH10" i="15"/>
  <c r="AF10" i="15"/>
  <c r="C107" i="24"/>
  <c r="D98" i="24"/>
  <c r="AC25" i="13"/>
  <c r="C83" i="24"/>
  <c r="C73" i="24"/>
  <c r="U6" i="1"/>
  <c r="U3" i="15" l="1"/>
  <c r="U4" i="15"/>
  <c r="V6" i="15" s="1"/>
  <c r="U7" i="15"/>
  <c r="U8" i="15"/>
  <c r="AG27" i="13"/>
  <c r="AG25" i="13"/>
  <c r="AJ25" i="13" s="1"/>
  <c r="AH23" i="13"/>
  <c r="AH22" i="13"/>
  <c r="AH21" i="13"/>
  <c r="AH19" i="13"/>
  <c r="AH15" i="13"/>
  <c r="AH14" i="13"/>
  <c r="AH13" i="13"/>
  <c r="AH12" i="13"/>
  <c r="AH11" i="13"/>
  <c r="AH10" i="13"/>
  <c r="AH9" i="13"/>
  <c r="AH8" i="13"/>
  <c r="AH7" i="13"/>
  <c r="AH6" i="13"/>
  <c r="AH5" i="13"/>
  <c r="AH4" i="13"/>
  <c r="AH3" i="13"/>
  <c r="U18" i="13"/>
  <c r="U48" i="13" s="1"/>
  <c r="U25" i="13"/>
  <c r="U54" i="13" s="1"/>
  <c r="U27" i="13"/>
  <c r="U19" i="19"/>
  <c r="U20" i="19"/>
  <c r="U21" i="19"/>
  <c r="U22" i="19"/>
  <c r="U31" i="19" s="1"/>
  <c r="U2" i="19"/>
  <c r="U3" i="19"/>
  <c r="U4" i="19"/>
  <c r="V48" i="19" s="1"/>
  <c r="U5" i="19"/>
  <c r="U14" i="19" s="1"/>
  <c r="U41" i="19"/>
  <c r="H33" i="24"/>
  <c r="D56" i="24"/>
  <c r="H54" i="24"/>
  <c r="B46" i="24"/>
  <c r="D67" i="24" s="1"/>
  <c r="AJ27" i="13" l="1"/>
  <c r="AI28" i="13"/>
  <c r="AL28" i="13" s="1"/>
  <c r="U33" i="13"/>
  <c r="V28" i="13"/>
  <c r="U19" i="15"/>
  <c r="V10" i="15"/>
  <c r="U18" i="15"/>
  <c r="U63" i="19"/>
  <c r="U64" i="19"/>
  <c r="U65" i="19"/>
  <c r="U62" i="19"/>
  <c r="U69" i="19"/>
  <c r="U70" i="19"/>
  <c r="U71" i="19"/>
  <c r="U68" i="19"/>
  <c r="U11" i="19"/>
  <c r="U29" i="19"/>
  <c r="U28" i="19"/>
  <c r="U23" i="19"/>
  <c r="U8" i="19"/>
  <c r="U30" i="19"/>
  <c r="U25" i="19"/>
  <c r="U6" i="19"/>
  <c r="U12" i="19"/>
  <c r="U26" i="19"/>
  <c r="U11" i="15"/>
  <c r="V12" i="15" s="1"/>
  <c r="U40" i="13"/>
  <c r="U55" i="13"/>
  <c r="U51" i="13"/>
  <c r="U44" i="13"/>
  <c r="U36" i="13"/>
  <c r="U49" i="13"/>
  <c r="U43" i="13"/>
  <c r="U39" i="13"/>
  <c r="U35" i="13"/>
  <c r="U53" i="13"/>
  <c r="U42" i="13"/>
  <c r="U38" i="13"/>
  <c r="U34" i="13"/>
  <c r="U52" i="13"/>
  <c r="U45" i="13"/>
  <c r="U41" i="13"/>
  <c r="U37" i="13"/>
  <c r="U13" i="19"/>
  <c r="AM2" i="33"/>
  <c r="AM1" i="33"/>
  <c r="AM4" i="33"/>
  <c r="AE6" i="33"/>
  <c r="AE16" i="33"/>
  <c r="U2" i="33"/>
  <c r="U3" i="33"/>
  <c r="U4" i="33"/>
  <c r="U5" i="33"/>
  <c r="U7" i="33"/>
  <c r="U12" i="33"/>
  <c r="U13" i="33"/>
  <c r="U14" i="33"/>
  <c r="U15" i="33"/>
  <c r="U17" i="33"/>
  <c r="U64" i="1"/>
  <c r="U65" i="1"/>
  <c r="U66" i="1"/>
  <c r="U67" i="1"/>
  <c r="U58" i="1"/>
  <c r="U59" i="1"/>
  <c r="U60" i="1"/>
  <c r="U61" i="1"/>
  <c r="U46" i="1"/>
  <c r="U47" i="1"/>
  <c r="U48" i="1"/>
  <c r="V50" i="1" s="1"/>
  <c r="U49" i="1"/>
  <c r="U40" i="1"/>
  <c r="U41" i="1"/>
  <c r="U42" i="1"/>
  <c r="U44" i="1"/>
  <c r="U33" i="1"/>
  <c r="U37" i="19" s="1"/>
  <c r="U34" i="1"/>
  <c r="U38" i="19" s="1"/>
  <c r="U35" i="1"/>
  <c r="U39" i="19" s="1"/>
  <c r="U36" i="1"/>
  <c r="U40" i="19" s="1"/>
  <c r="U25" i="1"/>
  <c r="U26" i="1"/>
  <c r="U27" i="1"/>
  <c r="U28" i="1"/>
  <c r="U10" i="1"/>
  <c r="U11" i="1"/>
  <c r="U12" i="1"/>
  <c r="U13" i="1"/>
  <c r="U21" i="15" l="1"/>
  <c r="U22" i="15"/>
  <c r="U52" i="33"/>
  <c r="U47" i="33"/>
  <c r="B37" i="24"/>
  <c r="U39" i="33"/>
  <c r="B28" i="24"/>
  <c r="U50" i="33"/>
  <c r="B39" i="24"/>
  <c r="U43" i="33"/>
  <c r="U38" i="33"/>
  <c r="U49" i="33"/>
  <c r="B36" i="24"/>
  <c r="U41" i="33"/>
  <c r="B29" i="24"/>
  <c r="U48" i="33"/>
  <c r="B38" i="24"/>
  <c r="U40" i="33"/>
  <c r="B24" i="24"/>
  <c r="U29" i="33"/>
  <c r="D81" i="24"/>
  <c r="D71" i="24"/>
  <c r="D80" i="24"/>
  <c r="U16" i="19"/>
  <c r="U15" i="19" s="1"/>
  <c r="U8" i="33"/>
  <c r="U18" i="33"/>
  <c r="U30" i="33"/>
  <c r="U22" i="33"/>
  <c r="U32" i="33"/>
  <c r="U23" i="33"/>
  <c r="U31" i="33"/>
  <c r="U24" i="33"/>
  <c r="U16" i="33"/>
  <c r="U21" i="33"/>
  <c r="U6" i="33"/>
  <c r="AF4" i="13"/>
  <c r="AF5" i="13"/>
  <c r="AF6" i="13"/>
  <c r="AF7" i="13"/>
  <c r="AF8" i="13"/>
  <c r="AF9" i="13"/>
  <c r="AF10" i="13"/>
  <c r="AF11" i="13"/>
  <c r="AF12" i="13"/>
  <c r="AF13" i="13"/>
  <c r="AF14" i="13"/>
  <c r="AF15" i="13"/>
  <c r="AF21" i="13"/>
  <c r="AF22" i="13"/>
  <c r="AF23" i="13"/>
  <c r="AF3" i="13"/>
  <c r="T27" i="13"/>
  <c r="U28" i="13" s="1"/>
  <c r="AC27" i="13"/>
  <c r="U42" i="33" l="1"/>
  <c r="B30" i="24"/>
  <c r="AC28" i="13"/>
  <c r="U51" i="33"/>
  <c r="B40" i="24"/>
  <c r="F59" i="24"/>
  <c r="G80" i="24" s="1"/>
  <c r="D79" i="24"/>
  <c r="F45" i="24"/>
  <c r="F65" i="24"/>
  <c r="G66" i="24" s="1"/>
  <c r="D70" i="24"/>
  <c r="AE11" i="15"/>
  <c r="AG28" i="13"/>
  <c r="AJ28" i="13" s="1"/>
  <c r="AH27" i="13"/>
  <c r="AF27" i="13"/>
  <c r="AE28" i="13"/>
  <c r="U33" i="33"/>
  <c r="D82" i="24"/>
  <c r="U25" i="33"/>
  <c r="D72" i="24"/>
  <c r="AH12" i="15" l="1"/>
  <c r="AF12" i="15"/>
  <c r="AF28" i="13"/>
  <c r="AH28" i="13"/>
  <c r="B62" i="24"/>
  <c r="D83" i="24" s="1"/>
  <c r="B52" i="24"/>
  <c r="A14" i="19"/>
  <c r="A22" i="19" s="1"/>
  <c r="A31" i="19" s="1"/>
  <c r="A40" i="19" s="1"/>
  <c r="A47" i="19" s="1"/>
  <c r="A53" i="19" s="1"/>
  <c r="A59" i="19" s="1"/>
  <c r="A65" i="19" s="1"/>
  <c r="A71" i="19" s="1"/>
  <c r="A28" i="1"/>
  <c r="A20" i="1"/>
  <c r="A13" i="1"/>
  <c r="A61" i="1"/>
  <c r="A67" i="1" s="1"/>
  <c r="A43" i="1"/>
  <c r="A55" i="1" s="1"/>
  <c r="B63" i="24" l="1"/>
  <c r="D73" i="24"/>
  <c r="B53" i="24"/>
  <c r="C48" i="24"/>
  <c r="C47" i="24"/>
  <c r="C46" i="24"/>
  <c r="C50" i="24"/>
  <c r="C45" i="24"/>
  <c r="C49" i="24"/>
  <c r="C51" i="24"/>
  <c r="C60" i="24"/>
  <c r="C57" i="24"/>
  <c r="C58" i="24"/>
  <c r="C61" i="24"/>
  <c r="H45" i="24"/>
  <c r="A49" i="1"/>
  <c r="C52" i="24" l="1"/>
  <c r="T4" i="15"/>
  <c r="U6" i="15" s="1"/>
  <c r="T34" i="1" l="1"/>
  <c r="T38" i="19" s="1"/>
  <c r="T33" i="1"/>
  <c r="A32" i="33"/>
  <c r="A41" i="33" s="1"/>
  <c r="A24" i="33"/>
  <c r="A39" i="24"/>
  <c r="A29" i="24"/>
  <c r="A18" i="24"/>
  <c r="M20" i="1"/>
  <c r="M28" i="1" s="1"/>
  <c r="N20" i="1"/>
  <c r="O20" i="1"/>
  <c r="P20" i="1"/>
  <c r="Q20" i="1"/>
  <c r="A50" i="24" l="1"/>
  <c r="A60" i="24"/>
  <c r="A81" i="24" l="1"/>
  <c r="A105" i="24" s="1"/>
  <c r="A71" i="24"/>
  <c r="A95" i="24" s="1"/>
  <c r="K10" i="1"/>
  <c r="S27" i="13"/>
  <c r="P27" i="13"/>
  <c r="R27" i="13"/>
  <c r="AD7" i="15"/>
  <c r="AE10" i="15" s="1"/>
  <c r="AD8" i="15"/>
  <c r="AD3" i="15"/>
  <c r="AD4" i="15"/>
  <c r="AE6" i="15" s="1"/>
  <c r="AC8" i="15"/>
  <c r="AC7" i="15"/>
  <c r="AC4" i="15"/>
  <c r="AC3" i="15"/>
  <c r="A120" i="24" l="1"/>
  <c r="A130" i="24" s="1"/>
  <c r="A117" i="24"/>
  <c r="AD11" i="15"/>
  <c r="AE12" i="15" s="1"/>
  <c r="AD10" i="15"/>
  <c r="AC11" i="15"/>
  <c r="AD12" i="15" s="1"/>
  <c r="AB2" i="15" l="1"/>
  <c r="AA2" i="15"/>
  <c r="S3" i="15"/>
  <c r="AA3" i="15" s="1"/>
  <c r="T3" i="15"/>
  <c r="AB3" i="15" s="1"/>
  <c r="S4" i="15"/>
  <c r="AA4" i="15" s="1"/>
  <c r="S7" i="15"/>
  <c r="T7" i="15"/>
  <c r="S8" i="15"/>
  <c r="AA8" i="15" s="1"/>
  <c r="T8" i="15"/>
  <c r="AB8" i="15" s="1"/>
  <c r="D26" i="24"/>
  <c r="AC10" i="15" l="1"/>
  <c r="U10" i="15"/>
  <c r="S19" i="15"/>
  <c r="AA7" i="15"/>
  <c r="T6" i="15"/>
  <c r="AB4" i="15"/>
  <c r="T18" i="15"/>
  <c r="T10" i="15"/>
  <c r="AB7" i="15"/>
  <c r="AB10" i="15" s="1"/>
  <c r="T19" i="15"/>
  <c r="S18" i="15"/>
  <c r="S21" i="15" s="1"/>
  <c r="S11" i="15"/>
  <c r="T11" i="15"/>
  <c r="U12" i="15" s="1"/>
  <c r="B25" i="24"/>
  <c r="AA6" i="13"/>
  <c r="AA7" i="13"/>
  <c r="AA8" i="13"/>
  <c r="AA9" i="13"/>
  <c r="AA10" i="13"/>
  <c r="AA11" i="13"/>
  <c r="AA12" i="13"/>
  <c r="AA13" i="13"/>
  <c r="AA14" i="13"/>
  <c r="AA15" i="13"/>
  <c r="T21" i="15" l="1"/>
  <c r="AD15" i="13"/>
  <c r="AB15" i="13"/>
  <c r="AD7" i="13"/>
  <c r="AB7" i="13"/>
  <c r="AD14" i="13"/>
  <c r="AB14" i="13"/>
  <c r="AD6" i="13"/>
  <c r="AB6" i="13"/>
  <c r="D46" i="24"/>
  <c r="F24" i="24"/>
  <c r="AB11" i="13"/>
  <c r="AD11" i="13"/>
  <c r="AD10" i="13"/>
  <c r="AB10" i="13"/>
  <c r="AD13" i="13"/>
  <c r="AB13" i="13"/>
  <c r="AD9" i="13"/>
  <c r="AB9" i="13"/>
  <c r="AD12" i="13"/>
  <c r="AB12" i="13"/>
  <c r="AD8" i="13"/>
  <c r="AB8" i="13"/>
  <c r="S22" i="15"/>
  <c r="T22" i="15"/>
  <c r="T12" i="15"/>
  <c r="AA11" i="15"/>
  <c r="AB11" i="15"/>
  <c r="AB12" i="15" s="1"/>
  <c r="AB6" i="15"/>
  <c r="AC6" i="15"/>
  <c r="B34" i="24"/>
  <c r="B4" i="24"/>
  <c r="AD11" i="33"/>
  <c r="AC11" i="33"/>
  <c r="S12" i="33"/>
  <c r="T12" i="33"/>
  <c r="S13" i="33"/>
  <c r="T13" i="33"/>
  <c r="S14" i="33"/>
  <c r="T14" i="33"/>
  <c r="S15" i="33"/>
  <c r="T15" i="33"/>
  <c r="S17" i="33"/>
  <c r="T17" i="33"/>
  <c r="S2" i="33"/>
  <c r="T2" i="33"/>
  <c r="S3" i="33"/>
  <c r="T3" i="33"/>
  <c r="S4" i="33"/>
  <c r="T4" i="33"/>
  <c r="S5" i="33"/>
  <c r="T5" i="33"/>
  <c r="S7" i="33"/>
  <c r="T7" i="33"/>
  <c r="S41" i="19"/>
  <c r="T41" i="19"/>
  <c r="S19" i="19"/>
  <c r="T19" i="19"/>
  <c r="S20" i="19"/>
  <c r="T20" i="19"/>
  <c r="S21" i="19"/>
  <c r="S70" i="19" s="1"/>
  <c r="T21" i="19"/>
  <c r="T30" i="19" s="1"/>
  <c r="S22" i="19"/>
  <c r="T22" i="19"/>
  <c r="S2" i="19"/>
  <c r="T2" i="19"/>
  <c r="S3" i="19"/>
  <c r="T3" i="19"/>
  <c r="S4" i="19"/>
  <c r="T4" i="19"/>
  <c r="S5" i="19"/>
  <c r="S14" i="19" s="1"/>
  <c r="T5" i="19"/>
  <c r="T14" i="19" s="1"/>
  <c r="B5" i="1"/>
  <c r="Y43" i="1" s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W43" i="1" l="1"/>
  <c r="X43" i="1"/>
  <c r="T39" i="33"/>
  <c r="B7" i="24"/>
  <c r="F23" i="24" s="1"/>
  <c r="G24" i="24" s="1"/>
  <c r="T49" i="33"/>
  <c r="B15" i="24"/>
  <c r="B8" i="24"/>
  <c r="T52" i="33"/>
  <c r="B16" i="24"/>
  <c r="S8" i="19"/>
  <c r="T43" i="33"/>
  <c r="T40" i="33"/>
  <c r="B3" i="24"/>
  <c r="T38" i="33"/>
  <c r="B18" i="24"/>
  <c r="T48" i="33"/>
  <c r="B17" i="24"/>
  <c r="U43" i="1"/>
  <c r="V43" i="1"/>
  <c r="D50" i="24"/>
  <c r="T41" i="33"/>
  <c r="D58" i="24"/>
  <c r="T16" i="33"/>
  <c r="T47" i="33"/>
  <c r="D60" i="24"/>
  <c r="T50" i="33"/>
  <c r="T13" i="19"/>
  <c r="U48" i="19"/>
  <c r="T8" i="19"/>
  <c r="S49" i="33"/>
  <c r="S48" i="33"/>
  <c r="D57" i="24"/>
  <c r="S28" i="19"/>
  <c r="S26" i="19"/>
  <c r="S50" i="33"/>
  <c r="S6" i="33"/>
  <c r="T26" i="19"/>
  <c r="S43" i="33"/>
  <c r="S52" i="33"/>
  <c r="S11" i="19"/>
  <c r="T21" i="33"/>
  <c r="S13" i="19"/>
  <c r="S65" i="19"/>
  <c r="S18" i="33"/>
  <c r="S6" i="19"/>
  <c r="T12" i="19"/>
  <c r="S25" i="19"/>
  <c r="T69" i="19"/>
  <c r="T28" i="19"/>
  <c r="S71" i="19"/>
  <c r="S64" i="19"/>
  <c r="T18" i="33"/>
  <c r="T32" i="33"/>
  <c r="T30" i="33"/>
  <c r="T31" i="33"/>
  <c r="S62" i="19"/>
  <c r="T23" i="33"/>
  <c r="S23" i="33"/>
  <c r="S21" i="33"/>
  <c r="S31" i="33"/>
  <c r="T11" i="19"/>
  <c r="S12" i="19"/>
  <c r="S23" i="19"/>
  <c r="S69" i="19"/>
  <c r="S63" i="19"/>
  <c r="S24" i="33"/>
  <c r="S22" i="33"/>
  <c r="S32" i="33"/>
  <c r="T24" i="33"/>
  <c r="S41" i="33"/>
  <c r="T8" i="33"/>
  <c r="T22" i="33"/>
  <c r="S39" i="33"/>
  <c r="S38" i="33"/>
  <c r="T6" i="19"/>
  <c r="T65" i="19"/>
  <c r="T63" i="19"/>
  <c r="T6" i="33"/>
  <c r="T64" i="19"/>
  <c r="T62" i="19"/>
  <c r="T48" i="19"/>
  <c r="S40" i="33"/>
  <c r="D45" i="24"/>
  <c r="S30" i="19"/>
  <c r="T70" i="19"/>
  <c r="S68" i="19"/>
  <c r="S30" i="33"/>
  <c r="T23" i="19"/>
  <c r="T31" i="19"/>
  <c r="T29" i="19"/>
  <c r="S31" i="19"/>
  <c r="S29" i="19"/>
  <c r="T71" i="19"/>
  <c r="S47" i="33"/>
  <c r="T68" i="19"/>
  <c r="T29" i="33"/>
  <c r="S8" i="33"/>
  <c r="S29" i="33"/>
  <c r="S16" i="33"/>
  <c r="T25" i="19"/>
  <c r="F16" i="24" l="1"/>
  <c r="T42" i="33"/>
  <c r="B9" i="24"/>
  <c r="B10" i="24" s="1"/>
  <c r="B11" i="24" s="1"/>
  <c r="AI2" i="33"/>
  <c r="T51" i="33"/>
  <c r="B19" i="24"/>
  <c r="B20" i="24" s="1"/>
  <c r="B21" i="24" s="1"/>
  <c r="T33" i="33"/>
  <c r="F44" i="24"/>
  <c r="G45" i="24" s="1"/>
  <c r="D49" i="24"/>
  <c r="D59" i="24"/>
  <c r="T16" i="19"/>
  <c r="T15" i="19" s="1"/>
  <c r="S25" i="33"/>
  <c r="D61" i="24"/>
  <c r="D24" i="24"/>
  <c r="S16" i="19"/>
  <c r="S15" i="19" s="1"/>
  <c r="S33" i="19"/>
  <c r="S32" i="19" s="1"/>
  <c r="S51" i="33"/>
  <c r="S42" i="33"/>
  <c r="D51" i="24"/>
  <c r="T25" i="33"/>
  <c r="S33" i="33"/>
  <c r="T33" i="19"/>
  <c r="T32" i="19" s="1"/>
  <c r="T37" i="19" l="1"/>
  <c r="T6" i="1"/>
  <c r="T26" i="1" s="1"/>
  <c r="S6" i="1"/>
  <c r="S25" i="1" l="1"/>
  <c r="S27" i="1"/>
  <c r="S26" i="1"/>
  <c r="S28" i="1"/>
  <c r="T25" i="1"/>
  <c r="T27" i="1"/>
  <c r="T28" i="1"/>
  <c r="R20" i="1"/>
  <c r="Q5" i="1" l="1"/>
  <c r="R5" i="1"/>
  <c r="J7" i="15" l="1"/>
  <c r="AA26" i="13"/>
  <c r="AA22" i="13"/>
  <c r="AA23" i="13"/>
  <c r="AA24" i="13"/>
  <c r="AA21" i="13"/>
  <c r="AA19" i="13"/>
  <c r="AA4" i="13"/>
  <c r="AA5" i="13"/>
  <c r="AA3" i="13"/>
  <c r="AE25" i="13"/>
  <c r="AE18" i="13"/>
  <c r="AC18" i="13"/>
  <c r="S18" i="13"/>
  <c r="T18" i="13"/>
  <c r="S25" i="13"/>
  <c r="T25" i="13"/>
  <c r="S38" i="13"/>
  <c r="AK2" i="33"/>
  <c r="AK3" i="33"/>
  <c r="AL3" i="33"/>
  <c r="AK4" i="33"/>
  <c r="AL4" i="33"/>
  <c r="AJ1" i="33"/>
  <c r="AK1" i="33"/>
  <c r="AL1" i="33"/>
  <c r="AI1" i="33"/>
  <c r="T48" i="13" l="1"/>
  <c r="T55" i="13"/>
  <c r="AD19" i="13"/>
  <c r="AB19" i="13"/>
  <c r="AD4" i="13"/>
  <c r="AB4" i="13"/>
  <c r="AB23" i="13"/>
  <c r="AD23" i="13"/>
  <c r="AD22" i="13"/>
  <c r="AB22" i="13"/>
  <c r="AD3" i="13"/>
  <c r="AA27" i="13"/>
  <c r="AA28" i="13" s="1"/>
  <c r="AB3" i="13"/>
  <c r="AD21" i="13"/>
  <c r="AB21" i="13"/>
  <c r="AD5" i="13"/>
  <c r="AB5" i="13"/>
  <c r="AH25" i="13"/>
  <c r="AF25" i="13"/>
  <c r="AF18" i="13"/>
  <c r="AH18" i="13"/>
  <c r="S48" i="13"/>
  <c r="S54" i="13"/>
  <c r="T35" i="13"/>
  <c r="T33" i="13"/>
  <c r="AA18" i="13"/>
  <c r="AD18" i="13" s="1"/>
  <c r="S51" i="13"/>
  <c r="S42" i="13"/>
  <c r="T39" i="13"/>
  <c r="T53" i="13"/>
  <c r="T44" i="13"/>
  <c r="T36" i="13"/>
  <c r="S55" i="13"/>
  <c r="T51" i="13"/>
  <c r="T40" i="13"/>
  <c r="T34" i="13"/>
  <c r="T49" i="13"/>
  <c r="T43" i="13"/>
  <c r="S44" i="13"/>
  <c r="S40" i="13"/>
  <c r="S52" i="13"/>
  <c r="T52" i="13"/>
  <c r="T45" i="13"/>
  <c r="T42" i="13"/>
  <c r="T37" i="13"/>
  <c r="T41" i="13"/>
  <c r="T38" i="13"/>
  <c r="S53" i="13"/>
  <c r="S49" i="13"/>
  <c r="S45" i="13"/>
  <c r="S43" i="13"/>
  <c r="S41" i="13"/>
  <c r="S39" i="13"/>
  <c r="S33" i="13"/>
  <c r="T54" i="13"/>
  <c r="S35" i="13"/>
  <c r="T28" i="13"/>
  <c r="S37" i="13"/>
  <c r="S36" i="13"/>
  <c r="S34" i="13"/>
  <c r="AI4" i="33"/>
  <c r="AI3" i="33"/>
  <c r="AJ2" i="33"/>
  <c r="AD28" i="13" l="1"/>
  <c r="AB27" i="13"/>
  <c r="AD27" i="13"/>
  <c r="AB18" i="13"/>
  <c r="T67" i="1"/>
  <c r="S67" i="1"/>
  <c r="T66" i="1"/>
  <c r="S66" i="1"/>
  <c r="T65" i="1"/>
  <c r="S65" i="1"/>
  <c r="T64" i="1"/>
  <c r="S64" i="1"/>
  <c r="S58" i="1"/>
  <c r="T58" i="1"/>
  <c r="S59" i="1"/>
  <c r="T59" i="1"/>
  <c r="S60" i="1"/>
  <c r="T60" i="1"/>
  <c r="S61" i="1"/>
  <c r="T61" i="1"/>
  <c r="S46" i="1"/>
  <c r="T46" i="1"/>
  <c r="S47" i="1"/>
  <c r="T47" i="1"/>
  <c r="S48" i="1"/>
  <c r="T48" i="1"/>
  <c r="S49" i="1"/>
  <c r="T49" i="1"/>
  <c r="S40" i="1"/>
  <c r="T40" i="1"/>
  <c r="S41" i="1"/>
  <c r="T41" i="1"/>
  <c r="S42" i="1"/>
  <c r="T42" i="1"/>
  <c r="S43" i="1"/>
  <c r="T43" i="1"/>
  <c r="S44" i="1"/>
  <c r="T44" i="1"/>
  <c r="S33" i="1"/>
  <c r="S34" i="1"/>
  <c r="S35" i="1"/>
  <c r="T35" i="1"/>
  <c r="S36" i="1"/>
  <c r="S40" i="19" s="1"/>
  <c r="T36" i="1"/>
  <c r="T40" i="19" s="1"/>
  <c r="P33" i="1"/>
  <c r="S10" i="1"/>
  <c r="R10" i="1"/>
  <c r="T10" i="1"/>
  <c r="S11" i="1"/>
  <c r="T11" i="1"/>
  <c r="S12" i="1"/>
  <c r="T12" i="1"/>
  <c r="S13" i="1"/>
  <c r="T13" i="1"/>
  <c r="T50" i="1" l="1"/>
  <c r="U50" i="1"/>
  <c r="S38" i="19"/>
  <c r="T39" i="19"/>
  <c r="S39" i="19"/>
  <c r="S37" i="19"/>
  <c r="D27" i="24"/>
  <c r="A27" i="24"/>
  <c r="A48" i="24" s="1"/>
  <c r="A69" i="24" s="1"/>
  <c r="A93" i="24" s="1"/>
  <c r="A26" i="24"/>
  <c r="A47" i="24" s="1"/>
  <c r="A68" i="24" s="1"/>
  <c r="A92" i="24" s="1"/>
  <c r="AA11" i="33"/>
  <c r="AB11" i="33"/>
  <c r="D25" i="24" l="1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R7" i="15"/>
  <c r="Q7" i="15"/>
  <c r="P7" i="15"/>
  <c r="P19" i="15" s="1"/>
  <c r="O7" i="15"/>
  <c r="O19" i="15" s="1"/>
  <c r="N7" i="15"/>
  <c r="N19" i="15" s="1"/>
  <c r="M7" i="15"/>
  <c r="M19" i="15" s="1"/>
  <c r="L7" i="15"/>
  <c r="K7" i="15"/>
  <c r="K19" i="15" s="1"/>
  <c r="J19" i="15"/>
  <c r="I7" i="15"/>
  <c r="I19" i="15" s="1"/>
  <c r="H7" i="15"/>
  <c r="H19" i="15" s="1"/>
  <c r="G7" i="15"/>
  <c r="G19" i="15" s="1"/>
  <c r="F7" i="15"/>
  <c r="F19" i="15" s="1"/>
  <c r="E7" i="15"/>
  <c r="E19" i="15" s="1"/>
  <c r="D7" i="15"/>
  <c r="D19" i="15" s="1"/>
  <c r="C7" i="15"/>
  <c r="C19" i="15" s="1"/>
  <c r="B7" i="15"/>
  <c r="B19" i="15" s="1"/>
  <c r="R4" i="15"/>
  <c r="Q4" i="15"/>
  <c r="P4" i="15"/>
  <c r="O4" i="15"/>
  <c r="N4" i="15"/>
  <c r="M4" i="15"/>
  <c r="M18" i="15" s="1"/>
  <c r="L4" i="15"/>
  <c r="L18" i="15" s="1"/>
  <c r="K4" i="15"/>
  <c r="J4" i="15"/>
  <c r="I4" i="15"/>
  <c r="I18" i="15" s="1"/>
  <c r="H4" i="15"/>
  <c r="G4" i="15"/>
  <c r="F4" i="15"/>
  <c r="E4" i="15"/>
  <c r="D4" i="15"/>
  <c r="D18" i="15" s="1"/>
  <c r="C4" i="15"/>
  <c r="B4" i="15"/>
  <c r="B18" i="15" s="1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F86" i="13"/>
  <c r="E86" i="13"/>
  <c r="D86" i="13"/>
  <c r="C86" i="13"/>
  <c r="F85" i="13"/>
  <c r="E85" i="13"/>
  <c r="D85" i="13"/>
  <c r="C85" i="13"/>
  <c r="F84" i="13"/>
  <c r="E84" i="13"/>
  <c r="D84" i="13"/>
  <c r="C84" i="13"/>
  <c r="F83" i="13"/>
  <c r="E83" i="13"/>
  <c r="D83" i="13"/>
  <c r="C83" i="13"/>
  <c r="F82" i="13"/>
  <c r="E82" i="13"/>
  <c r="D82" i="13"/>
  <c r="C82" i="13"/>
  <c r="F81" i="13"/>
  <c r="E81" i="13"/>
  <c r="D81" i="13"/>
  <c r="C81" i="13"/>
  <c r="F79" i="13"/>
  <c r="E79" i="13"/>
  <c r="D79" i="13"/>
  <c r="C79" i="13"/>
  <c r="F78" i="13"/>
  <c r="E78" i="13"/>
  <c r="D78" i="13"/>
  <c r="C78" i="13"/>
  <c r="F75" i="13"/>
  <c r="E75" i="13"/>
  <c r="D75" i="13"/>
  <c r="C75" i="13"/>
  <c r="F74" i="13"/>
  <c r="E74" i="13"/>
  <c r="D74" i="13"/>
  <c r="C74" i="13"/>
  <c r="F73" i="13"/>
  <c r="E73" i="13"/>
  <c r="D73" i="13"/>
  <c r="C73" i="13"/>
  <c r="F72" i="13"/>
  <c r="E72" i="13"/>
  <c r="D72" i="13"/>
  <c r="C72" i="13"/>
  <c r="F71" i="13"/>
  <c r="E71" i="13"/>
  <c r="D71" i="13"/>
  <c r="C71" i="13"/>
  <c r="F70" i="13"/>
  <c r="E70" i="13"/>
  <c r="D70" i="13"/>
  <c r="C70" i="13"/>
  <c r="F69" i="13"/>
  <c r="E69" i="13"/>
  <c r="D69" i="13"/>
  <c r="C69" i="13"/>
  <c r="F68" i="13"/>
  <c r="E68" i="13"/>
  <c r="D68" i="13"/>
  <c r="C68" i="13"/>
  <c r="F67" i="13"/>
  <c r="E67" i="13"/>
  <c r="D67" i="13"/>
  <c r="C67" i="13"/>
  <c r="F66" i="13"/>
  <c r="E66" i="13"/>
  <c r="D66" i="13"/>
  <c r="C66" i="13"/>
  <c r="F65" i="13"/>
  <c r="E65" i="13"/>
  <c r="D65" i="13"/>
  <c r="C65" i="13"/>
  <c r="F64" i="13"/>
  <c r="E64" i="13"/>
  <c r="D64" i="13"/>
  <c r="C64" i="13"/>
  <c r="F63" i="13"/>
  <c r="E63" i="13"/>
  <c r="D63" i="13"/>
  <c r="C63" i="13"/>
  <c r="J55" i="13"/>
  <c r="I55" i="13"/>
  <c r="H55" i="13"/>
  <c r="G55" i="13"/>
  <c r="F55" i="13"/>
  <c r="E55" i="13"/>
  <c r="D55" i="13"/>
  <c r="C55" i="13"/>
  <c r="B55" i="13"/>
  <c r="J54" i="13"/>
  <c r="I54" i="13"/>
  <c r="H54" i="13"/>
  <c r="G54" i="13"/>
  <c r="F54" i="13"/>
  <c r="E54" i="13"/>
  <c r="D54" i="13"/>
  <c r="C54" i="13"/>
  <c r="B54" i="13"/>
  <c r="J48" i="13"/>
  <c r="I48" i="13"/>
  <c r="H48" i="13"/>
  <c r="G48" i="13"/>
  <c r="F48" i="13"/>
  <c r="E48" i="13"/>
  <c r="D48" i="13"/>
  <c r="C48" i="13"/>
  <c r="B48" i="13"/>
  <c r="S28" i="13"/>
  <c r="AB28" i="13" s="1"/>
  <c r="Q27" i="13"/>
  <c r="P34" i="13"/>
  <c r="O27" i="13"/>
  <c r="O35" i="13" s="1"/>
  <c r="N27" i="13"/>
  <c r="N37" i="13" s="1"/>
  <c r="M27" i="13"/>
  <c r="M51" i="13" s="1"/>
  <c r="L27" i="13"/>
  <c r="L38" i="13" s="1"/>
  <c r="K27" i="13"/>
  <c r="K49" i="13" s="1"/>
  <c r="J27" i="13"/>
  <c r="J53" i="13" s="1"/>
  <c r="I27" i="13"/>
  <c r="I45" i="13" s="1"/>
  <c r="H27" i="13"/>
  <c r="H52" i="13" s="1"/>
  <c r="G27" i="13"/>
  <c r="G53" i="13" s="1"/>
  <c r="F27" i="13"/>
  <c r="F51" i="13" s="1"/>
  <c r="E27" i="13"/>
  <c r="E51" i="13" s="1"/>
  <c r="D27" i="13"/>
  <c r="D41" i="13" s="1"/>
  <c r="C27" i="13"/>
  <c r="B27" i="13"/>
  <c r="B53" i="13" s="1"/>
  <c r="AA25" i="13"/>
  <c r="R25" i="13"/>
  <c r="Q25" i="13"/>
  <c r="P25" i="13"/>
  <c r="O25" i="13"/>
  <c r="N25" i="13"/>
  <c r="N54" i="13" s="1"/>
  <c r="M25" i="13"/>
  <c r="M54" i="13" s="1"/>
  <c r="L25" i="13"/>
  <c r="L54" i="13" s="1"/>
  <c r="K25" i="13"/>
  <c r="R18" i="13"/>
  <c r="Q18" i="13"/>
  <c r="P18" i="13"/>
  <c r="O18" i="13"/>
  <c r="N18" i="13"/>
  <c r="M18" i="13"/>
  <c r="M48" i="13" s="1"/>
  <c r="L18" i="13"/>
  <c r="K18" i="13"/>
  <c r="D35" i="24"/>
  <c r="L52" i="33"/>
  <c r="K52" i="33"/>
  <c r="J52" i="33"/>
  <c r="I52" i="33"/>
  <c r="H52" i="33"/>
  <c r="G52" i="33"/>
  <c r="F52" i="33"/>
  <c r="E52" i="33"/>
  <c r="D52" i="33"/>
  <c r="C52" i="33"/>
  <c r="B52" i="33"/>
  <c r="C46" i="33"/>
  <c r="D46" i="33" s="1"/>
  <c r="E46" i="33" s="1"/>
  <c r="F46" i="33" s="1"/>
  <c r="G46" i="33" s="1"/>
  <c r="H46" i="33" s="1"/>
  <c r="I46" i="33" s="1"/>
  <c r="J46" i="33" s="1"/>
  <c r="K46" i="33" s="1"/>
  <c r="L46" i="33" s="1"/>
  <c r="M46" i="33" s="1"/>
  <c r="N46" i="33" s="1"/>
  <c r="O46" i="33" s="1"/>
  <c r="P46" i="33" s="1"/>
  <c r="Q46" i="33" s="1"/>
  <c r="R46" i="33" s="1"/>
  <c r="S46" i="33" s="1"/>
  <c r="T46" i="33" s="1"/>
  <c r="U46" i="33" s="1"/>
  <c r="V46" i="33" s="1"/>
  <c r="W46" i="33" s="1"/>
  <c r="L43" i="33"/>
  <c r="K43" i="33"/>
  <c r="J43" i="33"/>
  <c r="I43" i="33"/>
  <c r="H43" i="33"/>
  <c r="G43" i="33"/>
  <c r="F43" i="33"/>
  <c r="E43" i="33"/>
  <c r="D43" i="33"/>
  <c r="C43" i="33"/>
  <c r="B43" i="33"/>
  <c r="Q37" i="33"/>
  <c r="R37" i="33" s="1"/>
  <c r="S37" i="33" s="1"/>
  <c r="T37" i="33" s="1"/>
  <c r="U37" i="33" s="1"/>
  <c r="V37" i="33" s="1"/>
  <c r="C37" i="33"/>
  <c r="D37" i="33" s="1"/>
  <c r="E37" i="33" s="1"/>
  <c r="F37" i="33" s="1"/>
  <c r="G37" i="33" s="1"/>
  <c r="H37" i="33" s="1"/>
  <c r="I37" i="33" s="1"/>
  <c r="J37" i="33" s="1"/>
  <c r="K37" i="33" s="1"/>
  <c r="L37" i="33" s="1"/>
  <c r="C28" i="33"/>
  <c r="D28" i="33" s="1"/>
  <c r="E28" i="33" s="1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C20" i="33"/>
  <c r="D20" i="33" s="1"/>
  <c r="E20" i="33" s="1"/>
  <c r="F20" i="33" s="1"/>
  <c r="G20" i="33" s="1"/>
  <c r="H20" i="33" s="1"/>
  <c r="I20" i="33" s="1"/>
  <c r="J20" i="33" s="1"/>
  <c r="K20" i="33" s="1"/>
  <c r="L20" i="33" s="1"/>
  <c r="M20" i="33" s="1"/>
  <c r="N20" i="33" s="1"/>
  <c r="O20" i="33" s="1"/>
  <c r="P20" i="33" s="1"/>
  <c r="Q20" i="33" s="1"/>
  <c r="R20" i="33" s="1"/>
  <c r="S20" i="33" s="1"/>
  <c r="T20" i="33" s="1"/>
  <c r="U20" i="33" s="1"/>
  <c r="R17" i="33"/>
  <c r="Q17" i="33"/>
  <c r="P17" i="33"/>
  <c r="O17" i="33"/>
  <c r="N17" i="33"/>
  <c r="R15" i="33"/>
  <c r="Q15" i="33"/>
  <c r="P15" i="33"/>
  <c r="O15" i="33"/>
  <c r="N15" i="33"/>
  <c r="M15" i="33"/>
  <c r="L15" i="33"/>
  <c r="K15" i="33"/>
  <c r="J15" i="33"/>
  <c r="J32" i="33" s="1"/>
  <c r="I15" i="33"/>
  <c r="H15" i="33"/>
  <c r="G15" i="33"/>
  <c r="F15" i="33"/>
  <c r="F32" i="33" s="1"/>
  <c r="E15" i="33"/>
  <c r="D15" i="33"/>
  <c r="C15" i="33"/>
  <c r="C32" i="33" s="1"/>
  <c r="B15" i="33"/>
  <c r="R14" i="33"/>
  <c r="Q14" i="33"/>
  <c r="P14" i="33"/>
  <c r="O14" i="33"/>
  <c r="N14" i="33"/>
  <c r="M14" i="33"/>
  <c r="L14" i="33"/>
  <c r="L31" i="33" s="1"/>
  <c r="K14" i="33"/>
  <c r="J14" i="33"/>
  <c r="J31" i="33" s="1"/>
  <c r="I14" i="33"/>
  <c r="H14" i="33"/>
  <c r="H31" i="33" s="1"/>
  <c r="G14" i="33"/>
  <c r="F14" i="33"/>
  <c r="F31" i="33" s="1"/>
  <c r="E14" i="33"/>
  <c r="D14" i="33"/>
  <c r="D31" i="33" s="1"/>
  <c r="C14" i="33"/>
  <c r="B14" i="33"/>
  <c r="R13" i="33"/>
  <c r="Q13" i="33"/>
  <c r="P13" i="33"/>
  <c r="O13" i="33"/>
  <c r="N13" i="33"/>
  <c r="M13" i="33"/>
  <c r="M30" i="33" s="1"/>
  <c r="L13" i="33"/>
  <c r="L30" i="33" s="1"/>
  <c r="K13" i="33"/>
  <c r="J13" i="33"/>
  <c r="J30" i="33" s="1"/>
  <c r="I13" i="33"/>
  <c r="I30" i="33" s="1"/>
  <c r="H13" i="33"/>
  <c r="G13" i="33"/>
  <c r="F13" i="33"/>
  <c r="E13" i="33"/>
  <c r="D13" i="33"/>
  <c r="D30" i="33" s="1"/>
  <c r="C13" i="33"/>
  <c r="B13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16" i="33" s="1"/>
  <c r="C11" i="33"/>
  <c r="D11" i="33" s="1"/>
  <c r="E11" i="33" s="1"/>
  <c r="F11" i="33" s="1"/>
  <c r="G11" i="33" s="1"/>
  <c r="H11" i="33" s="1"/>
  <c r="I11" i="33" s="1"/>
  <c r="J11" i="33" s="1"/>
  <c r="K11" i="33" s="1"/>
  <c r="L11" i="33" s="1"/>
  <c r="M11" i="33" s="1"/>
  <c r="N11" i="33" s="1"/>
  <c r="O11" i="33" s="1"/>
  <c r="P11" i="33" s="1"/>
  <c r="Q11" i="33" s="1"/>
  <c r="R11" i="33" s="1"/>
  <c r="S11" i="33" s="1"/>
  <c r="T11" i="33" s="1"/>
  <c r="U11" i="33" s="1"/>
  <c r="R7" i="33"/>
  <c r="Q7" i="33"/>
  <c r="P7" i="33"/>
  <c r="O7" i="33"/>
  <c r="N7" i="33"/>
  <c r="R5" i="33"/>
  <c r="Q5" i="33"/>
  <c r="P5" i="33"/>
  <c r="O5" i="33"/>
  <c r="N5" i="33"/>
  <c r="M5" i="33"/>
  <c r="M24" i="33" s="1"/>
  <c r="L5" i="33"/>
  <c r="L24" i="33" s="1"/>
  <c r="K5" i="33"/>
  <c r="K24" i="33" s="1"/>
  <c r="J5" i="33"/>
  <c r="J24" i="33" s="1"/>
  <c r="I5" i="33"/>
  <c r="I24" i="33" s="1"/>
  <c r="H5" i="33"/>
  <c r="H24" i="33" s="1"/>
  <c r="G5" i="33"/>
  <c r="G24" i="33" s="1"/>
  <c r="F5" i="33"/>
  <c r="F24" i="33" s="1"/>
  <c r="E5" i="33"/>
  <c r="E24" i="33" s="1"/>
  <c r="D5" i="33"/>
  <c r="D24" i="33" s="1"/>
  <c r="C5" i="33"/>
  <c r="C24" i="33" s="1"/>
  <c r="B5" i="33"/>
  <c r="R4" i="33"/>
  <c r="Q4" i="33"/>
  <c r="P4" i="33"/>
  <c r="O4" i="33"/>
  <c r="N4" i="33"/>
  <c r="M4" i="33"/>
  <c r="L4" i="33"/>
  <c r="L23" i="33" s="1"/>
  <c r="K4" i="33"/>
  <c r="J4" i="33"/>
  <c r="J23" i="33" s="1"/>
  <c r="I4" i="33"/>
  <c r="I23" i="33" s="1"/>
  <c r="H4" i="33"/>
  <c r="G4" i="33"/>
  <c r="F4" i="33"/>
  <c r="F23" i="33" s="1"/>
  <c r="E4" i="33"/>
  <c r="D4" i="33"/>
  <c r="D23" i="33" s="1"/>
  <c r="C4" i="33"/>
  <c r="B4" i="33"/>
  <c r="R3" i="33"/>
  <c r="Q3" i="33"/>
  <c r="P3" i="33"/>
  <c r="O3" i="33"/>
  <c r="N3" i="33"/>
  <c r="M3" i="33"/>
  <c r="L3" i="33"/>
  <c r="K3" i="33"/>
  <c r="K22" i="33" s="1"/>
  <c r="J3" i="33"/>
  <c r="J22" i="33" s="1"/>
  <c r="I3" i="33"/>
  <c r="H3" i="33"/>
  <c r="G3" i="33"/>
  <c r="G22" i="33" s="1"/>
  <c r="F3" i="33"/>
  <c r="E3" i="33"/>
  <c r="E22" i="33" s="1"/>
  <c r="D3" i="33"/>
  <c r="C3" i="33"/>
  <c r="C22" i="33" s="1"/>
  <c r="B3" i="33"/>
  <c r="R2" i="33"/>
  <c r="Q2" i="33"/>
  <c r="P2" i="33"/>
  <c r="O2" i="33"/>
  <c r="N2" i="33"/>
  <c r="M2" i="33"/>
  <c r="L2" i="33"/>
  <c r="K2" i="33"/>
  <c r="J2" i="33"/>
  <c r="I2" i="33"/>
  <c r="H2" i="33"/>
  <c r="G2" i="33"/>
  <c r="F2" i="33"/>
  <c r="E2" i="33"/>
  <c r="D2" i="33"/>
  <c r="C2" i="33"/>
  <c r="B2" i="33"/>
  <c r="C1" i="33"/>
  <c r="D1" i="33" s="1"/>
  <c r="E1" i="33" s="1"/>
  <c r="F1" i="33" s="1"/>
  <c r="G1" i="33" s="1"/>
  <c r="H1" i="33" s="1"/>
  <c r="I1" i="33" s="1"/>
  <c r="J1" i="33" s="1"/>
  <c r="K1" i="33" s="1"/>
  <c r="L1" i="33" s="1"/>
  <c r="M1" i="33" s="1"/>
  <c r="N1" i="33" s="1"/>
  <c r="O1" i="33" s="1"/>
  <c r="P1" i="33" s="1"/>
  <c r="Q1" i="33" s="1"/>
  <c r="C67" i="19"/>
  <c r="D67" i="19" s="1"/>
  <c r="E67" i="19" s="1"/>
  <c r="F67" i="19" s="1"/>
  <c r="G67" i="19" s="1"/>
  <c r="H67" i="19" s="1"/>
  <c r="I67" i="19" s="1"/>
  <c r="J67" i="19" s="1"/>
  <c r="K67" i="19" s="1"/>
  <c r="L67" i="19" s="1"/>
  <c r="M67" i="19" s="1"/>
  <c r="N67" i="19" s="1"/>
  <c r="O67" i="19" s="1"/>
  <c r="P67" i="19" s="1"/>
  <c r="Q67" i="19" s="1"/>
  <c r="R67" i="19" s="1"/>
  <c r="S67" i="19" s="1"/>
  <c r="T67" i="19" s="1"/>
  <c r="U67" i="19" s="1"/>
  <c r="C61" i="19"/>
  <c r="D61" i="19" s="1"/>
  <c r="E61" i="19" s="1"/>
  <c r="F61" i="19" s="1"/>
  <c r="G61" i="19" s="1"/>
  <c r="H61" i="19" s="1"/>
  <c r="I61" i="19" s="1"/>
  <c r="J61" i="19" s="1"/>
  <c r="K61" i="19" s="1"/>
  <c r="L61" i="19" s="1"/>
  <c r="M61" i="19" s="1"/>
  <c r="N61" i="19" s="1"/>
  <c r="O61" i="19" s="1"/>
  <c r="P61" i="19" s="1"/>
  <c r="Q61" i="19" s="1"/>
  <c r="R61" i="19" s="1"/>
  <c r="S61" i="19" s="1"/>
  <c r="T61" i="19" s="1"/>
  <c r="U61" i="19" s="1"/>
  <c r="C55" i="19"/>
  <c r="D55" i="19" s="1"/>
  <c r="E55" i="19" s="1"/>
  <c r="F55" i="19" s="1"/>
  <c r="G55" i="19" s="1"/>
  <c r="H55" i="19" s="1"/>
  <c r="I55" i="19" s="1"/>
  <c r="J55" i="19" s="1"/>
  <c r="K55" i="19" s="1"/>
  <c r="L55" i="19" s="1"/>
  <c r="M55" i="19" s="1"/>
  <c r="N55" i="19" s="1"/>
  <c r="O55" i="19" s="1"/>
  <c r="P55" i="19" s="1"/>
  <c r="Q55" i="19" s="1"/>
  <c r="R55" i="19" s="1"/>
  <c r="S55" i="19" s="1"/>
  <c r="T55" i="19" s="1"/>
  <c r="U55" i="19" s="1"/>
  <c r="C49" i="19"/>
  <c r="D49" i="19" s="1"/>
  <c r="E49" i="19" s="1"/>
  <c r="F49" i="19" s="1"/>
  <c r="G49" i="19" s="1"/>
  <c r="H49" i="19" s="1"/>
  <c r="I49" i="19" s="1"/>
  <c r="J49" i="19" s="1"/>
  <c r="K49" i="19" s="1"/>
  <c r="L49" i="19" s="1"/>
  <c r="M49" i="19" s="1"/>
  <c r="N49" i="19" s="1"/>
  <c r="O49" i="19" s="1"/>
  <c r="P49" i="19" s="1"/>
  <c r="Q49" i="19" s="1"/>
  <c r="R49" i="19" s="1"/>
  <c r="S49" i="19" s="1"/>
  <c r="T49" i="19" s="1"/>
  <c r="U49" i="19" s="1"/>
  <c r="C43" i="19"/>
  <c r="D43" i="19" s="1"/>
  <c r="E43" i="19" s="1"/>
  <c r="F43" i="19" s="1"/>
  <c r="G43" i="19" s="1"/>
  <c r="H43" i="19" s="1"/>
  <c r="I43" i="19" s="1"/>
  <c r="J43" i="19" s="1"/>
  <c r="K43" i="19" s="1"/>
  <c r="L43" i="19" s="1"/>
  <c r="M43" i="19" s="1"/>
  <c r="N43" i="19" s="1"/>
  <c r="O43" i="19" s="1"/>
  <c r="P43" i="19" s="1"/>
  <c r="Q43" i="19" s="1"/>
  <c r="R43" i="19" s="1"/>
  <c r="S43" i="19" s="1"/>
  <c r="T43" i="19" s="1"/>
  <c r="U43" i="19" s="1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C27" i="19"/>
  <c r="D27" i="19" s="1"/>
  <c r="E27" i="19" s="1"/>
  <c r="F27" i="19" s="1"/>
  <c r="G27" i="19" s="1"/>
  <c r="H27" i="19" s="1"/>
  <c r="I27" i="19" s="1"/>
  <c r="J27" i="19" s="1"/>
  <c r="K27" i="19" s="1"/>
  <c r="L27" i="19" s="1"/>
  <c r="M27" i="19" s="1"/>
  <c r="N27" i="19" s="1"/>
  <c r="O27" i="19" s="1"/>
  <c r="P27" i="19" s="1"/>
  <c r="Q27" i="19" s="1"/>
  <c r="R27" i="19" s="1"/>
  <c r="S27" i="19" s="1"/>
  <c r="T27" i="19" s="1"/>
  <c r="U27" i="19" s="1"/>
  <c r="R22" i="19"/>
  <c r="R31" i="19" s="1"/>
  <c r="Q22" i="19"/>
  <c r="P22" i="19"/>
  <c r="O22" i="19"/>
  <c r="N22" i="19"/>
  <c r="N31" i="19" s="1"/>
  <c r="M22" i="19"/>
  <c r="L22" i="19"/>
  <c r="K22" i="19"/>
  <c r="J22" i="19"/>
  <c r="I22" i="19"/>
  <c r="H22" i="19"/>
  <c r="H31" i="19" s="1"/>
  <c r="G22" i="19"/>
  <c r="F22" i="19"/>
  <c r="F31" i="19" s="1"/>
  <c r="E22" i="19"/>
  <c r="E31" i="19" s="1"/>
  <c r="D22" i="19"/>
  <c r="D31" i="19" s="1"/>
  <c r="C22" i="19"/>
  <c r="B22" i="19"/>
  <c r="R21" i="19"/>
  <c r="Q21" i="19"/>
  <c r="P21" i="19"/>
  <c r="O21" i="19"/>
  <c r="O30" i="19" s="1"/>
  <c r="N21" i="19"/>
  <c r="M21" i="19"/>
  <c r="L21" i="19"/>
  <c r="K21" i="19"/>
  <c r="J21" i="19"/>
  <c r="I21" i="19"/>
  <c r="H21" i="19"/>
  <c r="H70" i="19" s="1"/>
  <c r="G21" i="19"/>
  <c r="G30" i="19" s="1"/>
  <c r="F21" i="19"/>
  <c r="E21" i="19"/>
  <c r="D21" i="19"/>
  <c r="C21" i="19"/>
  <c r="C30" i="19" s="1"/>
  <c r="B21" i="19"/>
  <c r="R20" i="19"/>
  <c r="Q20" i="19"/>
  <c r="P20" i="19"/>
  <c r="P29" i="19" s="1"/>
  <c r="O20" i="19"/>
  <c r="O29" i="19" s="1"/>
  <c r="N20" i="19"/>
  <c r="N29" i="19" s="1"/>
  <c r="M20" i="19"/>
  <c r="L20" i="19"/>
  <c r="K20" i="19"/>
  <c r="K29" i="19" s="1"/>
  <c r="J20" i="19"/>
  <c r="J29" i="19" s="1"/>
  <c r="I20" i="19"/>
  <c r="H20" i="19"/>
  <c r="H29" i="19" s="1"/>
  <c r="G20" i="19"/>
  <c r="G29" i="19" s="1"/>
  <c r="F20" i="19"/>
  <c r="F29" i="19" s="1"/>
  <c r="E20" i="19"/>
  <c r="D20" i="19"/>
  <c r="C20" i="19"/>
  <c r="C29" i="19" s="1"/>
  <c r="B20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C18" i="19"/>
  <c r="D18" i="19" s="1"/>
  <c r="E18" i="19" s="1"/>
  <c r="F18" i="19" s="1"/>
  <c r="G18" i="19" s="1"/>
  <c r="H18" i="19" s="1"/>
  <c r="I18" i="19" s="1"/>
  <c r="J18" i="19" s="1"/>
  <c r="K18" i="19" s="1"/>
  <c r="L18" i="19" s="1"/>
  <c r="M18" i="19" s="1"/>
  <c r="N18" i="19" s="1"/>
  <c r="O18" i="19" s="1"/>
  <c r="P18" i="19" s="1"/>
  <c r="Q18" i="19" s="1"/>
  <c r="R18" i="19" s="1"/>
  <c r="S18" i="19" s="1"/>
  <c r="T18" i="19" s="1"/>
  <c r="U18" i="19" s="1"/>
  <c r="C10" i="19"/>
  <c r="D10" i="19" s="1"/>
  <c r="E10" i="19" s="1"/>
  <c r="F10" i="19" s="1"/>
  <c r="G10" i="19" s="1"/>
  <c r="H10" i="19" s="1"/>
  <c r="I10" i="19" s="1"/>
  <c r="J10" i="19" s="1"/>
  <c r="K10" i="19" s="1"/>
  <c r="L10" i="19" s="1"/>
  <c r="M10" i="19" s="1"/>
  <c r="N10" i="19" s="1"/>
  <c r="O10" i="19" s="1"/>
  <c r="P10" i="19" s="1"/>
  <c r="Q10" i="19" s="1"/>
  <c r="R10" i="19" s="1"/>
  <c r="S10" i="19" s="1"/>
  <c r="T10" i="19" s="1"/>
  <c r="U10" i="19" s="1"/>
  <c r="R5" i="19"/>
  <c r="Q5" i="19"/>
  <c r="P5" i="19"/>
  <c r="O5" i="19"/>
  <c r="N5" i="19"/>
  <c r="M5" i="19"/>
  <c r="M14" i="19" s="1"/>
  <c r="L5" i="19"/>
  <c r="K5" i="19"/>
  <c r="K14" i="19" s="1"/>
  <c r="J5" i="19"/>
  <c r="I5" i="19"/>
  <c r="H5" i="19"/>
  <c r="G5" i="19"/>
  <c r="F5" i="19"/>
  <c r="E5" i="19"/>
  <c r="D5" i="19"/>
  <c r="C5" i="19"/>
  <c r="C14" i="19" s="1"/>
  <c r="B5" i="19"/>
  <c r="Y47" i="19" s="1"/>
  <c r="R4" i="19"/>
  <c r="Q4" i="19"/>
  <c r="P4" i="19"/>
  <c r="O4" i="19"/>
  <c r="N4" i="19"/>
  <c r="M4" i="19"/>
  <c r="L4" i="19"/>
  <c r="K4" i="19"/>
  <c r="J4" i="19"/>
  <c r="I4" i="19"/>
  <c r="H4" i="19"/>
  <c r="H13" i="19" s="1"/>
  <c r="G4" i="19"/>
  <c r="F4" i="19"/>
  <c r="E4" i="19"/>
  <c r="D4" i="19"/>
  <c r="C4" i="19"/>
  <c r="B4" i="19"/>
  <c r="R3" i="19"/>
  <c r="Q3" i="19"/>
  <c r="P3" i="19"/>
  <c r="O3" i="19"/>
  <c r="N3" i="19"/>
  <c r="M3" i="19"/>
  <c r="L3" i="19"/>
  <c r="K3" i="19"/>
  <c r="K12" i="19" s="1"/>
  <c r="J3" i="19"/>
  <c r="I3" i="19"/>
  <c r="H3" i="19"/>
  <c r="G3" i="19"/>
  <c r="F3" i="19"/>
  <c r="E3" i="19"/>
  <c r="D3" i="19"/>
  <c r="C3" i="19"/>
  <c r="B3" i="19"/>
  <c r="R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B2" i="19"/>
  <c r="C1" i="19"/>
  <c r="D1" i="19" s="1"/>
  <c r="E1" i="19" s="1"/>
  <c r="F1" i="19" s="1"/>
  <c r="G1" i="19" s="1"/>
  <c r="H1" i="19" s="1"/>
  <c r="I1" i="19" s="1"/>
  <c r="J1" i="19" s="1"/>
  <c r="K1" i="19" s="1"/>
  <c r="L1" i="19" s="1"/>
  <c r="M1" i="19" s="1"/>
  <c r="N1" i="19" s="1"/>
  <c r="O1" i="19" s="1"/>
  <c r="P1" i="19" s="1"/>
  <c r="Q1" i="19" s="1"/>
  <c r="R1" i="19" s="1"/>
  <c r="S1" i="19" s="1"/>
  <c r="T1" i="19" s="1"/>
  <c r="U1" i="19" s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C63" i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C57" i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R48" i="1"/>
  <c r="S50" i="1" s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C45" i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R44" i="1"/>
  <c r="Q44" i="1"/>
  <c r="P44" i="1"/>
  <c r="O44" i="1"/>
  <c r="M44" i="1"/>
  <c r="L44" i="1"/>
  <c r="K44" i="1"/>
  <c r="J44" i="1"/>
  <c r="I44" i="1"/>
  <c r="H44" i="1"/>
  <c r="G44" i="1"/>
  <c r="F44" i="1"/>
  <c r="E44" i="1"/>
  <c r="D44" i="1"/>
  <c r="C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R36" i="1"/>
  <c r="Q36" i="1"/>
  <c r="Q40" i="19" s="1"/>
  <c r="P36" i="1"/>
  <c r="P40" i="19" s="1"/>
  <c r="O36" i="1"/>
  <c r="O40" i="19" s="1"/>
  <c r="N36" i="1"/>
  <c r="M36" i="1"/>
  <c r="M40" i="19" s="1"/>
  <c r="L36" i="1"/>
  <c r="L40" i="19" s="1"/>
  <c r="K36" i="1"/>
  <c r="K40" i="19" s="1"/>
  <c r="J36" i="1"/>
  <c r="I36" i="1"/>
  <c r="I40" i="19" s="1"/>
  <c r="H36" i="1"/>
  <c r="H40" i="19" s="1"/>
  <c r="G36" i="1"/>
  <c r="G40" i="19" s="1"/>
  <c r="F36" i="1"/>
  <c r="E36" i="1"/>
  <c r="E40" i="19" s="1"/>
  <c r="D36" i="1"/>
  <c r="D40" i="19" s="1"/>
  <c r="C36" i="1"/>
  <c r="C40" i="19" s="1"/>
  <c r="B36" i="1"/>
  <c r="Y55" i="1" s="1"/>
  <c r="R35" i="1"/>
  <c r="R39" i="19" s="1"/>
  <c r="Q35" i="1"/>
  <c r="Q39" i="19" s="1"/>
  <c r="P35" i="1"/>
  <c r="O35" i="1"/>
  <c r="N35" i="1"/>
  <c r="N39" i="19" s="1"/>
  <c r="M35" i="1"/>
  <c r="M39" i="19" s="1"/>
  <c r="L35" i="1"/>
  <c r="K35" i="1"/>
  <c r="J35" i="1"/>
  <c r="J39" i="19" s="1"/>
  <c r="I35" i="1"/>
  <c r="I39" i="19" s="1"/>
  <c r="H35" i="1"/>
  <c r="G35" i="1"/>
  <c r="F35" i="1"/>
  <c r="F39" i="19" s="1"/>
  <c r="E35" i="1"/>
  <c r="E39" i="19" s="1"/>
  <c r="D35" i="1"/>
  <c r="D39" i="19" s="1"/>
  <c r="C35" i="1"/>
  <c r="B35" i="1"/>
  <c r="X53" i="1" s="1"/>
  <c r="R34" i="1"/>
  <c r="R38" i="19" s="1"/>
  <c r="Q34" i="1"/>
  <c r="P34" i="1"/>
  <c r="O34" i="1"/>
  <c r="O38" i="19" s="1"/>
  <c r="N34" i="1"/>
  <c r="N38" i="19" s="1"/>
  <c r="M34" i="1"/>
  <c r="L34" i="1"/>
  <c r="K34" i="1"/>
  <c r="K38" i="19" s="1"/>
  <c r="J34" i="1"/>
  <c r="J38" i="19" s="1"/>
  <c r="I34" i="1"/>
  <c r="H34" i="1"/>
  <c r="G34" i="1"/>
  <c r="G38" i="19" s="1"/>
  <c r="F34" i="1"/>
  <c r="F38" i="19" s="1"/>
  <c r="E34" i="1"/>
  <c r="E38" i="19" s="1"/>
  <c r="D34" i="1"/>
  <c r="C34" i="1"/>
  <c r="C38" i="19" s="1"/>
  <c r="B34" i="1"/>
  <c r="X52" i="1" s="1"/>
  <c r="R33" i="1"/>
  <c r="R37" i="19" s="1"/>
  <c r="Q33" i="1"/>
  <c r="P37" i="19"/>
  <c r="O33" i="1"/>
  <c r="O37" i="19" s="1"/>
  <c r="N33" i="1"/>
  <c r="M33" i="1"/>
  <c r="L33" i="1"/>
  <c r="L37" i="19" s="1"/>
  <c r="K33" i="1"/>
  <c r="K37" i="19" s="1"/>
  <c r="J33" i="1"/>
  <c r="J37" i="19" s="1"/>
  <c r="I33" i="1"/>
  <c r="H33" i="1"/>
  <c r="H37" i="19" s="1"/>
  <c r="G33" i="1"/>
  <c r="G37" i="19" s="1"/>
  <c r="F33" i="1"/>
  <c r="F37" i="19" s="1"/>
  <c r="E33" i="1"/>
  <c r="D33" i="1"/>
  <c r="D37" i="19" s="1"/>
  <c r="C33" i="1"/>
  <c r="C37" i="19" s="1"/>
  <c r="B33" i="1"/>
  <c r="X54" i="1" s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R28" i="1"/>
  <c r="Q28" i="1"/>
  <c r="P28" i="1"/>
  <c r="O28" i="1"/>
  <c r="N28" i="1"/>
  <c r="J28" i="1"/>
  <c r="I28" i="1"/>
  <c r="H28" i="1"/>
  <c r="G28" i="1"/>
  <c r="F28" i="1"/>
  <c r="E28" i="1"/>
  <c r="D28" i="1"/>
  <c r="C28" i="1"/>
  <c r="B28" i="1"/>
  <c r="R27" i="1"/>
  <c r="Q27" i="1"/>
  <c r="P27" i="1"/>
  <c r="O27" i="1"/>
  <c r="N27" i="1"/>
  <c r="J27" i="1"/>
  <c r="I27" i="1"/>
  <c r="H27" i="1"/>
  <c r="G27" i="1"/>
  <c r="F27" i="1"/>
  <c r="E27" i="1"/>
  <c r="D27" i="1"/>
  <c r="C27" i="1"/>
  <c r="B27" i="1"/>
  <c r="R26" i="1"/>
  <c r="Q26" i="1"/>
  <c r="P26" i="1"/>
  <c r="O26" i="1"/>
  <c r="N26" i="1"/>
  <c r="J26" i="1"/>
  <c r="I26" i="1"/>
  <c r="H26" i="1"/>
  <c r="G26" i="1"/>
  <c r="F26" i="1"/>
  <c r="E26" i="1"/>
  <c r="D26" i="1"/>
  <c r="C26" i="1"/>
  <c r="B26" i="1"/>
  <c r="R25" i="1"/>
  <c r="Q25" i="1"/>
  <c r="P25" i="1"/>
  <c r="O25" i="1"/>
  <c r="N25" i="1"/>
  <c r="J25" i="1"/>
  <c r="I25" i="1"/>
  <c r="H25" i="1"/>
  <c r="G25" i="1"/>
  <c r="F25" i="1"/>
  <c r="E25" i="1"/>
  <c r="D25" i="1"/>
  <c r="C25" i="1"/>
  <c r="B25" i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C16" i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L1" i="1"/>
  <c r="M1" i="1" s="1"/>
  <c r="N1" i="1" s="1"/>
  <c r="O1" i="1" s="1"/>
  <c r="P1" i="1" s="1"/>
  <c r="Q1" i="1" s="1"/>
  <c r="R1" i="1" s="1"/>
  <c r="S1" i="1" s="1"/>
  <c r="T1" i="1" s="1"/>
  <c r="C1" i="1"/>
  <c r="D1" i="1" s="1"/>
  <c r="E1" i="1" s="1"/>
  <c r="F1" i="1" s="1"/>
  <c r="G1" i="1" s="1"/>
  <c r="H1" i="1" s="1"/>
  <c r="I1" i="1" s="1"/>
  <c r="J1" i="1" s="1"/>
  <c r="AA2" i="19" l="1"/>
  <c r="AC2" i="19"/>
  <c r="Z2" i="19"/>
  <c r="AB2" i="19"/>
  <c r="AC3" i="19"/>
  <c r="AA3" i="19"/>
  <c r="AB3" i="19"/>
  <c r="Z3" i="19"/>
  <c r="W46" i="19"/>
  <c r="X46" i="19"/>
  <c r="X50" i="19"/>
  <c r="X51" i="19"/>
  <c r="X44" i="19"/>
  <c r="X52" i="19"/>
  <c r="X45" i="19"/>
  <c r="W53" i="19"/>
  <c r="X53" i="19"/>
  <c r="W55" i="1"/>
  <c r="X55" i="1"/>
  <c r="W47" i="19"/>
  <c r="X47" i="19"/>
  <c r="O47" i="33"/>
  <c r="F26" i="19"/>
  <c r="J26" i="19"/>
  <c r="N26" i="19"/>
  <c r="R26" i="19"/>
  <c r="W53" i="1"/>
  <c r="V53" i="1"/>
  <c r="W52" i="19"/>
  <c r="W45" i="19"/>
  <c r="M26" i="19"/>
  <c r="P32" i="33"/>
  <c r="AD25" i="13"/>
  <c r="AB25" i="13"/>
  <c r="W54" i="1"/>
  <c r="V54" i="1"/>
  <c r="W50" i="19"/>
  <c r="W44" i="19"/>
  <c r="W52" i="1"/>
  <c r="V52" i="1"/>
  <c r="W51" i="19"/>
  <c r="R54" i="13"/>
  <c r="V45" i="19"/>
  <c r="U53" i="19"/>
  <c r="V53" i="19"/>
  <c r="U46" i="19"/>
  <c r="V46" i="19"/>
  <c r="V50" i="19"/>
  <c r="V44" i="19"/>
  <c r="V52" i="19"/>
  <c r="V51" i="19"/>
  <c r="U55" i="1"/>
  <c r="V55" i="1"/>
  <c r="U47" i="19"/>
  <c r="V47" i="19"/>
  <c r="U45" i="19"/>
  <c r="U50" i="19"/>
  <c r="U44" i="19"/>
  <c r="U52" i="19"/>
  <c r="U51" i="19"/>
  <c r="B39" i="19"/>
  <c r="B57" i="19" s="1"/>
  <c r="U53" i="1"/>
  <c r="T53" i="1"/>
  <c r="S53" i="1"/>
  <c r="B37" i="19"/>
  <c r="J58" i="19" s="1"/>
  <c r="U54" i="1"/>
  <c r="T54" i="1"/>
  <c r="S54" i="1"/>
  <c r="B38" i="19"/>
  <c r="K56" i="19" s="1"/>
  <c r="U52" i="1"/>
  <c r="S52" i="1"/>
  <c r="T52" i="1"/>
  <c r="B47" i="33"/>
  <c r="P24" i="33"/>
  <c r="E28" i="19"/>
  <c r="E26" i="19"/>
  <c r="I28" i="19"/>
  <c r="I26" i="19"/>
  <c r="Q28" i="19"/>
  <c r="Q26" i="19"/>
  <c r="R41" i="33"/>
  <c r="B30" i="33"/>
  <c r="R48" i="33"/>
  <c r="B26" i="19"/>
  <c r="R38" i="33"/>
  <c r="B31" i="33"/>
  <c r="R49" i="33"/>
  <c r="C26" i="19"/>
  <c r="G26" i="19"/>
  <c r="K26" i="19"/>
  <c r="O26" i="19"/>
  <c r="B22" i="33"/>
  <c r="R39" i="33"/>
  <c r="R50" i="33"/>
  <c r="D28" i="19"/>
  <c r="D26" i="19"/>
  <c r="H28" i="19"/>
  <c r="H26" i="19"/>
  <c r="L28" i="19"/>
  <c r="L26" i="19"/>
  <c r="P28" i="19"/>
  <c r="P26" i="19"/>
  <c r="B23" i="33"/>
  <c r="R40" i="33"/>
  <c r="R47" i="33"/>
  <c r="R43" i="33"/>
  <c r="Q32" i="33"/>
  <c r="R52" i="33"/>
  <c r="R32" i="33"/>
  <c r="B32" i="33"/>
  <c r="Q45" i="13"/>
  <c r="R28" i="13"/>
  <c r="Q48" i="13"/>
  <c r="Q30" i="13"/>
  <c r="S6" i="15"/>
  <c r="AA6" i="15"/>
  <c r="C11" i="15"/>
  <c r="G11" i="15"/>
  <c r="K11" i="15"/>
  <c r="O11" i="15"/>
  <c r="R19" i="15"/>
  <c r="S10" i="15"/>
  <c r="AA10" i="15"/>
  <c r="B51" i="19"/>
  <c r="T51" i="19"/>
  <c r="S51" i="19"/>
  <c r="S44" i="19"/>
  <c r="T44" i="19"/>
  <c r="T52" i="19"/>
  <c r="S52" i="19"/>
  <c r="S45" i="19"/>
  <c r="T45" i="19"/>
  <c r="B31" i="19"/>
  <c r="T53" i="19"/>
  <c r="S53" i="19"/>
  <c r="S46" i="19"/>
  <c r="T46" i="19"/>
  <c r="R13" i="19"/>
  <c r="S48" i="19"/>
  <c r="S50" i="19"/>
  <c r="T50" i="19"/>
  <c r="S47" i="19"/>
  <c r="T47" i="19"/>
  <c r="B24" i="33"/>
  <c r="R23" i="33"/>
  <c r="Q24" i="33"/>
  <c r="S55" i="1"/>
  <c r="T55" i="1"/>
  <c r="Q33" i="13"/>
  <c r="Q37" i="13"/>
  <c r="Q44" i="13"/>
  <c r="P52" i="13"/>
  <c r="H34" i="13"/>
  <c r="H38" i="13"/>
  <c r="P45" i="13"/>
  <c r="Q28" i="13"/>
  <c r="M40" i="13"/>
  <c r="I33" i="13"/>
  <c r="I37" i="13"/>
  <c r="L41" i="13"/>
  <c r="L55" i="13"/>
  <c r="N34" i="13"/>
  <c r="R36" i="13"/>
  <c r="N38" i="13"/>
  <c r="F40" i="13"/>
  <c r="J44" i="13"/>
  <c r="J33" i="13"/>
  <c r="J37" i="13"/>
  <c r="R38" i="13"/>
  <c r="R43" i="13"/>
  <c r="N51" i="13"/>
  <c r="P54" i="13"/>
  <c r="E33" i="13"/>
  <c r="M33" i="13"/>
  <c r="B34" i="13"/>
  <c r="J34" i="13"/>
  <c r="R34" i="13"/>
  <c r="J36" i="13"/>
  <c r="E37" i="13"/>
  <c r="M37" i="13"/>
  <c r="B38" i="13"/>
  <c r="J38" i="13"/>
  <c r="B39" i="13"/>
  <c r="R39" i="13"/>
  <c r="N40" i="13"/>
  <c r="F43" i="13"/>
  <c r="B44" i="13"/>
  <c r="R44" i="13"/>
  <c r="L48" i="13"/>
  <c r="B51" i="13"/>
  <c r="R51" i="13"/>
  <c r="F34" i="13"/>
  <c r="B36" i="13"/>
  <c r="F38" i="13"/>
  <c r="J39" i="13"/>
  <c r="N43" i="13"/>
  <c r="J51" i="13"/>
  <c r="R53" i="13"/>
  <c r="B33" i="13"/>
  <c r="R33" i="13"/>
  <c r="F36" i="13"/>
  <c r="B37" i="13"/>
  <c r="R37" i="13"/>
  <c r="N39" i="13"/>
  <c r="B43" i="13"/>
  <c r="N49" i="13"/>
  <c r="M28" i="13"/>
  <c r="F33" i="13"/>
  <c r="N33" i="13"/>
  <c r="D34" i="13"/>
  <c r="L34" i="13"/>
  <c r="N36" i="13"/>
  <c r="F37" i="13"/>
  <c r="D38" i="13"/>
  <c r="F39" i="13"/>
  <c r="E40" i="13"/>
  <c r="J43" i="13"/>
  <c r="I44" i="13"/>
  <c r="H45" i="13"/>
  <c r="F49" i="13"/>
  <c r="J18" i="15"/>
  <c r="J11" i="15"/>
  <c r="I11" i="15"/>
  <c r="N24" i="33"/>
  <c r="R24" i="33"/>
  <c r="O24" i="33"/>
  <c r="E16" i="33"/>
  <c r="I16" i="33"/>
  <c r="M16" i="33"/>
  <c r="O31" i="33"/>
  <c r="R16" i="33"/>
  <c r="B29" i="33"/>
  <c r="F29" i="33"/>
  <c r="F16" i="33"/>
  <c r="J16" i="33"/>
  <c r="O16" i="33"/>
  <c r="N16" i="33"/>
  <c r="C29" i="33"/>
  <c r="C16" i="33"/>
  <c r="G29" i="33"/>
  <c r="G16" i="33"/>
  <c r="K29" i="33"/>
  <c r="K16" i="33"/>
  <c r="P16" i="33"/>
  <c r="D16" i="33"/>
  <c r="H29" i="33"/>
  <c r="H16" i="33"/>
  <c r="L16" i="33"/>
  <c r="Q16" i="33"/>
  <c r="D21" i="33"/>
  <c r="D6" i="33"/>
  <c r="O6" i="33"/>
  <c r="E6" i="33"/>
  <c r="I6" i="33"/>
  <c r="M6" i="33"/>
  <c r="P6" i="33"/>
  <c r="L21" i="33"/>
  <c r="L6" i="33"/>
  <c r="L8" i="33"/>
  <c r="B6" i="33"/>
  <c r="F6" i="33"/>
  <c r="J6" i="33"/>
  <c r="Q6" i="33"/>
  <c r="H21" i="33"/>
  <c r="H6" i="33"/>
  <c r="C6" i="33"/>
  <c r="G6" i="33"/>
  <c r="K21" i="33"/>
  <c r="K6" i="33"/>
  <c r="N6" i="33"/>
  <c r="R6" i="33"/>
  <c r="D16" i="24"/>
  <c r="E128" i="24" s="1"/>
  <c r="B23" i="19"/>
  <c r="B25" i="19"/>
  <c r="B8" i="19"/>
  <c r="B6" i="19"/>
  <c r="D9" i="24" s="1"/>
  <c r="C50" i="19"/>
  <c r="P21" i="33"/>
  <c r="O43" i="33"/>
  <c r="C50" i="1"/>
  <c r="I8" i="19"/>
  <c r="Q8" i="19"/>
  <c r="G50" i="1"/>
  <c r="K50" i="1"/>
  <c r="O50" i="1"/>
  <c r="H44" i="19"/>
  <c r="C45" i="19"/>
  <c r="G45" i="19"/>
  <c r="O45" i="19"/>
  <c r="K50" i="33"/>
  <c r="E50" i="1"/>
  <c r="I50" i="1"/>
  <c r="M50" i="1"/>
  <c r="Q50" i="1"/>
  <c r="F8" i="19"/>
  <c r="H54" i="1"/>
  <c r="K55" i="1"/>
  <c r="L48" i="19"/>
  <c r="P48" i="19"/>
  <c r="H53" i="1"/>
  <c r="J52" i="1"/>
  <c r="I53" i="1"/>
  <c r="D8" i="19"/>
  <c r="L8" i="19"/>
  <c r="P8" i="19"/>
  <c r="J46" i="19"/>
  <c r="E47" i="19"/>
  <c r="I47" i="19"/>
  <c r="Q47" i="19"/>
  <c r="O25" i="19"/>
  <c r="R51" i="19"/>
  <c r="Q52" i="19"/>
  <c r="J54" i="1"/>
  <c r="N54" i="1"/>
  <c r="I52" i="1"/>
  <c r="M52" i="1"/>
  <c r="Q52" i="1"/>
  <c r="L53" i="1"/>
  <c r="P53" i="1"/>
  <c r="F50" i="1"/>
  <c r="J50" i="1"/>
  <c r="N50" i="1"/>
  <c r="R50" i="1"/>
  <c r="N52" i="1"/>
  <c r="M53" i="1"/>
  <c r="L54" i="1"/>
  <c r="E44" i="19"/>
  <c r="I44" i="19"/>
  <c r="M44" i="19"/>
  <c r="O62" i="19"/>
  <c r="M8" i="19"/>
  <c r="J13" i="19"/>
  <c r="I14" i="19"/>
  <c r="B68" i="19"/>
  <c r="F52" i="19"/>
  <c r="R68" i="19"/>
  <c r="P23" i="19"/>
  <c r="I38" i="19"/>
  <c r="E38" i="33"/>
  <c r="I8" i="33"/>
  <c r="M38" i="33"/>
  <c r="Q8" i="33"/>
  <c r="C40" i="33"/>
  <c r="K40" i="33"/>
  <c r="L32" i="33"/>
  <c r="E49" i="33"/>
  <c r="B52" i="1"/>
  <c r="R52" i="1"/>
  <c r="Q53" i="1"/>
  <c r="P54" i="1"/>
  <c r="L13" i="19"/>
  <c r="D23" i="19"/>
  <c r="L23" i="19"/>
  <c r="N53" i="19"/>
  <c r="H39" i="19"/>
  <c r="J68" i="19"/>
  <c r="H23" i="19"/>
  <c r="D50" i="1"/>
  <c r="H50" i="1"/>
  <c r="L50" i="1"/>
  <c r="P50" i="1"/>
  <c r="F52" i="1"/>
  <c r="E53" i="1"/>
  <c r="D54" i="1"/>
  <c r="C55" i="1"/>
  <c r="E8" i="19"/>
  <c r="Q14" i="19"/>
  <c r="F50" i="19"/>
  <c r="J50" i="19"/>
  <c r="N50" i="19"/>
  <c r="R50" i="19"/>
  <c r="E51" i="19"/>
  <c r="I51" i="19"/>
  <c r="M51" i="19"/>
  <c r="Q51" i="19"/>
  <c r="C53" i="19"/>
  <c r="G53" i="19"/>
  <c r="K53" i="19"/>
  <c r="O53" i="19"/>
  <c r="D29" i="19"/>
  <c r="L44" i="19"/>
  <c r="H48" i="19"/>
  <c r="F39" i="33"/>
  <c r="Q39" i="33"/>
  <c r="P40" i="33"/>
  <c r="F41" i="33"/>
  <c r="E37" i="19"/>
  <c r="E54" i="1"/>
  <c r="I37" i="19"/>
  <c r="I54" i="1"/>
  <c r="M37" i="19"/>
  <c r="M54" i="1"/>
  <c r="Q37" i="19"/>
  <c r="Q54" i="1"/>
  <c r="D38" i="19"/>
  <c r="D52" i="1"/>
  <c r="H38" i="19"/>
  <c r="H52" i="1"/>
  <c r="L38" i="19"/>
  <c r="L52" i="1"/>
  <c r="P38" i="19"/>
  <c r="P52" i="1"/>
  <c r="C39" i="19"/>
  <c r="C53" i="1"/>
  <c r="G39" i="19"/>
  <c r="G53" i="1"/>
  <c r="K39" i="19"/>
  <c r="K53" i="1"/>
  <c r="O39" i="19"/>
  <c r="O53" i="1"/>
  <c r="B40" i="19"/>
  <c r="B55" i="1"/>
  <c r="F40" i="19"/>
  <c r="F55" i="1"/>
  <c r="J40" i="19"/>
  <c r="J59" i="19" s="1"/>
  <c r="J55" i="1"/>
  <c r="N40" i="19"/>
  <c r="N55" i="1"/>
  <c r="R40" i="19"/>
  <c r="R59" i="19" s="1"/>
  <c r="R55" i="1"/>
  <c r="G55" i="1"/>
  <c r="O55" i="1"/>
  <c r="C44" i="19"/>
  <c r="C8" i="19"/>
  <c r="C11" i="19"/>
  <c r="C6" i="19"/>
  <c r="G44" i="19"/>
  <c r="G8" i="19"/>
  <c r="G6" i="19"/>
  <c r="G11" i="19"/>
  <c r="K44" i="19"/>
  <c r="K11" i="19"/>
  <c r="K8" i="19"/>
  <c r="K6" i="19"/>
  <c r="O44" i="19"/>
  <c r="O8" i="19"/>
  <c r="O11" i="19"/>
  <c r="O6" i="19"/>
  <c r="D7" i="24"/>
  <c r="E119" i="24" s="1"/>
  <c r="B45" i="19"/>
  <c r="K45" i="19"/>
  <c r="B12" i="19"/>
  <c r="F45" i="19"/>
  <c r="F12" i="19"/>
  <c r="F6" i="19"/>
  <c r="J45" i="19"/>
  <c r="J12" i="19"/>
  <c r="J6" i="19"/>
  <c r="J8" i="19"/>
  <c r="N45" i="19"/>
  <c r="N8" i="19"/>
  <c r="N12" i="19"/>
  <c r="N6" i="19"/>
  <c r="R45" i="19"/>
  <c r="R12" i="19"/>
  <c r="R6" i="19"/>
  <c r="R8" i="19"/>
  <c r="E63" i="19"/>
  <c r="E62" i="19"/>
  <c r="E65" i="19"/>
  <c r="E46" i="19"/>
  <c r="E64" i="19"/>
  <c r="E48" i="19"/>
  <c r="E13" i="19"/>
  <c r="I63" i="19"/>
  <c r="I62" i="19"/>
  <c r="I65" i="19"/>
  <c r="I64" i="19"/>
  <c r="I46" i="19"/>
  <c r="I48" i="19"/>
  <c r="I13" i="19"/>
  <c r="M63" i="19"/>
  <c r="M62" i="19"/>
  <c r="M65" i="19"/>
  <c r="M46" i="19"/>
  <c r="M13" i="19"/>
  <c r="M48" i="19"/>
  <c r="M64" i="19"/>
  <c r="Q63" i="19"/>
  <c r="Q62" i="19"/>
  <c r="Q65" i="19"/>
  <c r="Q46" i="19"/>
  <c r="Q13" i="19"/>
  <c r="Q64" i="19"/>
  <c r="Q48" i="19"/>
  <c r="D47" i="19"/>
  <c r="D14" i="19"/>
  <c r="P47" i="19"/>
  <c r="P14" i="19"/>
  <c r="C52" i="1"/>
  <c r="G52" i="1"/>
  <c r="K52" i="1"/>
  <c r="O52" i="1"/>
  <c r="B53" i="1"/>
  <c r="F53" i="1"/>
  <c r="J53" i="1"/>
  <c r="N53" i="1"/>
  <c r="R53" i="1"/>
  <c r="D55" i="1"/>
  <c r="H55" i="1"/>
  <c r="L55" i="1"/>
  <c r="P55" i="1"/>
  <c r="D3" i="24"/>
  <c r="I113" i="24" s="1"/>
  <c r="B62" i="19"/>
  <c r="B65" i="19"/>
  <c r="B64" i="19"/>
  <c r="B63" i="19"/>
  <c r="F62" i="19"/>
  <c r="F65" i="19"/>
  <c r="F64" i="19"/>
  <c r="F63" i="19"/>
  <c r="F48" i="19"/>
  <c r="J62" i="19"/>
  <c r="J65" i="19"/>
  <c r="J64" i="19"/>
  <c r="J63" i="19"/>
  <c r="J48" i="19"/>
  <c r="N62" i="19"/>
  <c r="N65" i="19"/>
  <c r="N64" i="19"/>
  <c r="N48" i="19"/>
  <c r="R62" i="19"/>
  <c r="R65" i="19"/>
  <c r="R64" i="19"/>
  <c r="R48" i="19"/>
  <c r="R63" i="19"/>
  <c r="D11" i="19"/>
  <c r="H11" i="19"/>
  <c r="L11" i="19"/>
  <c r="P11" i="19"/>
  <c r="C12" i="19"/>
  <c r="G12" i="19"/>
  <c r="O12" i="19"/>
  <c r="B13" i="19"/>
  <c r="F13" i="19"/>
  <c r="C23" i="19"/>
  <c r="C28" i="19"/>
  <c r="G23" i="19"/>
  <c r="G28" i="19"/>
  <c r="K23" i="19"/>
  <c r="K28" i="19"/>
  <c r="O23" i="19"/>
  <c r="O28" i="19"/>
  <c r="D17" i="24"/>
  <c r="E129" i="24" s="1"/>
  <c r="B29" i="19"/>
  <c r="R29" i="19"/>
  <c r="R23" i="19"/>
  <c r="E68" i="19"/>
  <c r="E71" i="19"/>
  <c r="E70" i="19"/>
  <c r="E69" i="19"/>
  <c r="E30" i="19"/>
  <c r="I68" i="19"/>
  <c r="I71" i="19"/>
  <c r="I70" i="19"/>
  <c r="I30" i="19"/>
  <c r="M68" i="19"/>
  <c r="M71" i="19"/>
  <c r="M70" i="19"/>
  <c r="M30" i="19"/>
  <c r="M69" i="19"/>
  <c r="Q68" i="19"/>
  <c r="Q71" i="19"/>
  <c r="Q70" i="19"/>
  <c r="Q69" i="19"/>
  <c r="Q30" i="19"/>
  <c r="L53" i="19"/>
  <c r="L31" i="19"/>
  <c r="P53" i="19"/>
  <c r="P31" i="19"/>
  <c r="D19" i="24"/>
  <c r="E131" i="24" s="1"/>
  <c r="J23" i="19"/>
  <c r="C25" i="19"/>
  <c r="N37" i="19"/>
  <c r="M38" i="19"/>
  <c r="L39" i="19"/>
  <c r="P44" i="19"/>
  <c r="N46" i="19"/>
  <c r="M47" i="19"/>
  <c r="G50" i="19"/>
  <c r="F51" i="19"/>
  <c r="E52" i="19"/>
  <c r="D53" i="19"/>
  <c r="I69" i="19"/>
  <c r="L47" i="19"/>
  <c r="L14" i="19"/>
  <c r="B54" i="1"/>
  <c r="F54" i="1"/>
  <c r="R54" i="1"/>
  <c r="E55" i="1"/>
  <c r="I55" i="1"/>
  <c r="M55" i="1"/>
  <c r="Q55" i="1"/>
  <c r="Q44" i="19"/>
  <c r="D45" i="19"/>
  <c r="H45" i="19"/>
  <c r="L45" i="19"/>
  <c r="P45" i="19"/>
  <c r="C65" i="19"/>
  <c r="C64" i="19"/>
  <c r="C63" i="19"/>
  <c r="C48" i="19"/>
  <c r="C62" i="19"/>
  <c r="C46" i="19"/>
  <c r="G65" i="19"/>
  <c r="G64" i="19"/>
  <c r="G63" i="19"/>
  <c r="G48" i="19"/>
  <c r="G62" i="19"/>
  <c r="G46" i="19"/>
  <c r="G13" i="19"/>
  <c r="K65" i="19"/>
  <c r="K64" i="19"/>
  <c r="K63" i="19"/>
  <c r="K62" i="19"/>
  <c r="K48" i="19"/>
  <c r="K46" i="19"/>
  <c r="K13" i="19"/>
  <c r="O65" i="19"/>
  <c r="O64" i="19"/>
  <c r="O63" i="19"/>
  <c r="O48" i="19"/>
  <c r="O46" i="19"/>
  <c r="O13" i="19"/>
  <c r="D8" i="24"/>
  <c r="B47" i="19"/>
  <c r="B14" i="19"/>
  <c r="F47" i="19"/>
  <c r="F14" i="19"/>
  <c r="J47" i="19"/>
  <c r="J14" i="19"/>
  <c r="N47" i="19"/>
  <c r="N14" i="19"/>
  <c r="R47" i="19"/>
  <c r="R14" i="19"/>
  <c r="D6" i="19"/>
  <c r="H6" i="19"/>
  <c r="L6" i="19"/>
  <c r="P6" i="19"/>
  <c r="E11" i="19"/>
  <c r="I11" i="19"/>
  <c r="M11" i="19"/>
  <c r="Q11" i="19"/>
  <c r="D12" i="19"/>
  <c r="H12" i="19"/>
  <c r="L12" i="19"/>
  <c r="P12" i="19"/>
  <c r="C13" i="19"/>
  <c r="N13" i="19"/>
  <c r="E14" i="19"/>
  <c r="G25" i="19"/>
  <c r="Q38" i="19"/>
  <c r="P39" i="19"/>
  <c r="D44" i="19"/>
  <c r="B46" i="19"/>
  <c r="R46" i="19"/>
  <c r="K50" i="19"/>
  <c r="J51" i="19"/>
  <c r="I52" i="19"/>
  <c r="H53" i="19"/>
  <c r="N63" i="19"/>
  <c r="H47" i="19"/>
  <c r="H14" i="19"/>
  <c r="L65" i="19"/>
  <c r="E52" i="1"/>
  <c r="D53" i="1"/>
  <c r="C54" i="1"/>
  <c r="G54" i="1"/>
  <c r="K54" i="1"/>
  <c r="O54" i="1"/>
  <c r="D4" i="24"/>
  <c r="B44" i="19"/>
  <c r="F44" i="19"/>
  <c r="J44" i="19"/>
  <c r="N44" i="19"/>
  <c r="R44" i="19"/>
  <c r="E45" i="19"/>
  <c r="I45" i="19"/>
  <c r="M45" i="19"/>
  <c r="Q45" i="19"/>
  <c r="D64" i="19"/>
  <c r="D63" i="19"/>
  <c r="D62" i="19"/>
  <c r="D65" i="19"/>
  <c r="D46" i="19"/>
  <c r="H64" i="19"/>
  <c r="H63" i="19"/>
  <c r="H62" i="19"/>
  <c r="H65" i="19"/>
  <c r="H46" i="19"/>
  <c r="L64" i="19"/>
  <c r="L63" i="19"/>
  <c r="L62" i="19"/>
  <c r="L46" i="19"/>
  <c r="P64" i="19"/>
  <c r="P63" i="19"/>
  <c r="P62" i="19"/>
  <c r="P46" i="19"/>
  <c r="P65" i="19"/>
  <c r="C47" i="19"/>
  <c r="G47" i="19"/>
  <c r="K47" i="19"/>
  <c r="O47" i="19"/>
  <c r="E6" i="19"/>
  <c r="I6" i="19"/>
  <c r="M6" i="19"/>
  <c r="Q6" i="19"/>
  <c r="H8" i="19"/>
  <c r="B11" i="19"/>
  <c r="F11" i="19"/>
  <c r="J11" i="19"/>
  <c r="N11" i="19"/>
  <c r="R11" i="19"/>
  <c r="E12" i="19"/>
  <c r="I12" i="19"/>
  <c r="M12" i="19"/>
  <c r="Q12" i="19"/>
  <c r="D13" i="19"/>
  <c r="P13" i="19"/>
  <c r="G14" i="19"/>
  <c r="O14" i="19"/>
  <c r="E50" i="19"/>
  <c r="E25" i="19"/>
  <c r="E23" i="19"/>
  <c r="I50" i="19"/>
  <c r="I25" i="19"/>
  <c r="I23" i="19"/>
  <c r="M50" i="19"/>
  <c r="M25" i="19"/>
  <c r="M23" i="19"/>
  <c r="Q50" i="19"/>
  <c r="Q25" i="19"/>
  <c r="Q23" i="19"/>
  <c r="D51" i="19"/>
  <c r="H51" i="19"/>
  <c r="L51" i="19"/>
  <c r="P51" i="19"/>
  <c r="C70" i="19"/>
  <c r="C69" i="19"/>
  <c r="C68" i="19"/>
  <c r="C71" i="19"/>
  <c r="C52" i="19"/>
  <c r="G70" i="19"/>
  <c r="G69" i="19"/>
  <c r="G68" i="19"/>
  <c r="G52" i="19"/>
  <c r="K70" i="19"/>
  <c r="K69" i="19"/>
  <c r="K68" i="19"/>
  <c r="K52" i="19"/>
  <c r="K71" i="19"/>
  <c r="O70" i="19"/>
  <c r="O69" i="19"/>
  <c r="O68" i="19"/>
  <c r="O71" i="19"/>
  <c r="O52" i="19"/>
  <c r="D18" i="24"/>
  <c r="B53" i="19"/>
  <c r="F53" i="19"/>
  <c r="J53" i="19"/>
  <c r="R53" i="19"/>
  <c r="F23" i="19"/>
  <c r="N23" i="19"/>
  <c r="K25" i="19"/>
  <c r="M28" i="19"/>
  <c r="L29" i="19"/>
  <c r="K30" i="19"/>
  <c r="J31" i="19"/>
  <c r="F46" i="19"/>
  <c r="D48" i="19"/>
  <c r="O50" i="19"/>
  <c r="N51" i="19"/>
  <c r="M52" i="19"/>
  <c r="G71" i="19"/>
  <c r="D69" i="19"/>
  <c r="D68" i="19"/>
  <c r="D71" i="19"/>
  <c r="H69" i="19"/>
  <c r="H68" i="19"/>
  <c r="H71" i="19"/>
  <c r="L69" i="19"/>
  <c r="L68" i="19"/>
  <c r="L71" i="19"/>
  <c r="P69" i="19"/>
  <c r="P68" i="19"/>
  <c r="P71" i="19"/>
  <c r="D25" i="19"/>
  <c r="H25" i="19"/>
  <c r="L25" i="19"/>
  <c r="P25" i="19"/>
  <c r="B28" i="19"/>
  <c r="F28" i="19"/>
  <c r="J28" i="19"/>
  <c r="N28" i="19"/>
  <c r="R28" i="19"/>
  <c r="E29" i="19"/>
  <c r="I29" i="19"/>
  <c r="M29" i="19"/>
  <c r="Q29" i="19"/>
  <c r="D30" i="19"/>
  <c r="H30" i="19"/>
  <c r="L30" i="19"/>
  <c r="P30" i="19"/>
  <c r="C31" i="19"/>
  <c r="G31" i="19"/>
  <c r="K31" i="19"/>
  <c r="O31" i="19"/>
  <c r="D50" i="19"/>
  <c r="H50" i="19"/>
  <c r="L50" i="19"/>
  <c r="P50" i="19"/>
  <c r="C51" i="19"/>
  <c r="G51" i="19"/>
  <c r="K51" i="19"/>
  <c r="O51" i="19"/>
  <c r="B52" i="19"/>
  <c r="J52" i="19"/>
  <c r="N52" i="19"/>
  <c r="R52" i="19"/>
  <c r="E53" i="19"/>
  <c r="N68" i="19"/>
  <c r="L70" i="19"/>
  <c r="P70" i="19"/>
  <c r="C21" i="33"/>
  <c r="C8" i="33"/>
  <c r="B71" i="19"/>
  <c r="D15" i="24"/>
  <c r="I125" i="24" s="1"/>
  <c r="B70" i="19"/>
  <c r="B69" i="19"/>
  <c r="F71" i="19"/>
  <c r="F70" i="19"/>
  <c r="F69" i="19"/>
  <c r="J71" i="19"/>
  <c r="J70" i="19"/>
  <c r="J69" i="19"/>
  <c r="N71" i="19"/>
  <c r="N70" i="19"/>
  <c r="N69" i="19"/>
  <c r="R71" i="19"/>
  <c r="R70" i="19"/>
  <c r="R69" i="19"/>
  <c r="I53" i="19"/>
  <c r="M53" i="19"/>
  <c r="Q53" i="19"/>
  <c r="F25" i="19"/>
  <c r="J25" i="19"/>
  <c r="N25" i="19"/>
  <c r="R25" i="19"/>
  <c r="B30" i="19"/>
  <c r="F30" i="19"/>
  <c r="J30" i="19"/>
  <c r="N30" i="19"/>
  <c r="R30" i="19"/>
  <c r="I31" i="19"/>
  <c r="M31" i="19"/>
  <c r="Q31" i="19"/>
  <c r="B50" i="19"/>
  <c r="D52" i="19"/>
  <c r="H52" i="19"/>
  <c r="L52" i="19"/>
  <c r="P52" i="19"/>
  <c r="F68" i="19"/>
  <c r="D70" i="19"/>
  <c r="D32" i="33"/>
  <c r="H32" i="33"/>
  <c r="E40" i="33"/>
  <c r="N48" i="13"/>
  <c r="R48" i="13"/>
  <c r="K55" i="13"/>
  <c r="K54" i="13"/>
  <c r="O55" i="13"/>
  <c r="O54" i="13"/>
  <c r="C45" i="13"/>
  <c r="C41" i="13"/>
  <c r="C51" i="13"/>
  <c r="C44" i="13"/>
  <c r="C40" i="13"/>
  <c r="C38" i="13"/>
  <c r="C34" i="13"/>
  <c r="C53" i="13"/>
  <c r="C39" i="13"/>
  <c r="C37" i="13"/>
  <c r="C33" i="13"/>
  <c r="C52" i="13"/>
  <c r="C43" i="13"/>
  <c r="C36" i="13"/>
  <c r="G45" i="13"/>
  <c r="G41" i="13"/>
  <c r="G51" i="13"/>
  <c r="G44" i="13"/>
  <c r="G40" i="13"/>
  <c r="G52" i="13"/>
  <c r="G43" i="13"/>
  <c r="G38" i="13"/>
  <c r="G34" i="13"/>
  <c r="G49" i="13"/>
  <c r="G42" i="13"/>
  <c r="G37" i="13"/>
  <c r="G33" i="13"/>
  <c r="G39" i="13"/>
  <c r="G36" i="13"/>
  <c r="K45" i="13"/>
  <c r="K41" i="13"/>
  <c r="K51" i="13"/>
  <c r="K44" i="13"/>
  <c r="K40" i="13"/>
  <c r="K39" i="13"/>
  <c r="K38" i="13"/>
  <c r="K34" i="13"/>
  <c r="K53" i="13"/>
  <c r="K37" i="13"/>
  <c r="K33" i="13"/>
  <c r="K52" i="13"/>
  <c r="K43" i="13"/>
  <c r="K36" i="13"/>
  <c r="O45" i="13"/>
  <c r="O41" i="13"/>
  <c r="O51" i="13"/>
  <c r="O44" i="13"/>
  <c r="O40" i="13"/>
  <c r="O52" i="13"/>
  <c r="O43" i="13"/>
  <c r="O34" i="13"/>
  <c r="O49" i="13"/>
  <c r="O42" i="13"/>
  <c r="O38" i="13"/>
  <c r="O37" i="13"/>
  <c r="O33" i="13"/>
  <c r="O28" i="13"/>
  <c r="O39" i="13"/>
  <c r="O36" i="13"/>
  <c r="C35" i="13"/>
  <c r="P41" i="33"/>
  <c r="K18" i="33"/>
  <c r="N48" i="33"/>
  <c r="M49" i="33"/>
  <c r="M50" i="33"/>
  <c r="G35" i="13"/>
  <c r="C42" i="13"/>
  <c r="C49" i="13"/>
  <c r="O53" i="13"/>
  <c r="L39" i="33"/>
  <c r="K35" i="13"/>
  <c r="K42" i="13"/>
  <c r="D51" i="13"/>
  <c r="D44" i="13"/>
  <c r="D40" i="13"/>
  <c r="D53" i="13"/>
  <c r="D49" i="13"/>
  <c r="D43" i="13"/>
  <c r="D39" i="13"/>
  <c r="H51" i="13"/>
  <c r="H44" i="13"/>
  <c r="H40" i="13"/>
  <c r="H53" i="13"/>
  <c r="H49" i="13"/>
  <c r="H43" i="13"/>
  <c r="H39" i="13"/>
  <c r="L51" i="13"/>
  <c r="L44" i="13"/>
  <c r="L40" i="13"/>
  <c r="L53" i="13"/>
  <c r="L49" i="13"/>
  <c r="L43" i="13"/>
  <c r="L39" i="13"/>
  <c r="P51" i="13"/>
  <c r="P44" i="13"/>
  <c r="P40" i="13"/>
  <c r="P53" i="13"/>
  <c r="P49" i="13"/>
  <c r="P43" i="13"/>
  <c r="P39" i="13"/>
  <c r="N28" i="13"/>
  <c r="E34" i="13"/>
  <c r="I34" i="13"/>
  <c r="M34" i="13"/>
  <c r="Q34" i="13"/>
  <c r="D35" i="13"/>
  <c r="H35" i="13"/>
  <c r="L35" i="13"/>
  <c r="P35" i="13"/>
  <c r="E38" i="13"/>
  <c r="I38" i="13"/>
  <c r="E41" i="13"/>
  <c r="M41" i="13"/>
  <c r="D42" i="13"/>
  <c r="L42" i="13"/>
  <c r="O48" i="13"/>
  <c r="Q54" i="13"/>
  <c r="M55" i="13"/>
  <c r="H18" i="15"/>
  <c r="H11" i="15"/>
  <c r="P18" i="15"/>
  <c r="P11" i="15"/>
  <c r="AD6" i="15"/>
  <c r="Q19" i="15"/>
  <c r="L11" i="15"/>
  <c r="E53" i="13"/>
  <c r="E49" i="13"/>
  <c r="E43" i="13"/>
  <c r="E52" i="13"/>
  <c r="E42" i="13"/>
  <c r="I53" i="13"/>
  <c r="I49" i="13"/>
  <c r="I43" i="13"/>
  <c r="I39" i="13"/>
  <c r="I52" i="13"/>
  <c r="I42" i="13"/>
  <c r="M53" i="13"/>
  <c r="M49" i="13"/>
  <c r="M43" i="13"/>
  <c r="M39" i="13"/>
  <c r="M52" i="13"/>
  <c r="M42" i="13"/>
  <c r="M38" i="13"/>
  <c r="Q53" i="13"/>
  <c r="Q49" i="13"/>
  <c r="Q43" i="13"/>
  <c r="Q39" i="13"/>
  <c r="Q52" i="13"/>
  <c r="Q42" i="13"/>
  <c r="Q38" i="13"/>
  <c r="E35" i="13"/>
  <c r="I35" i="13"/>
  <c r="M35" i="13"/>
  <c r="Q35" i="13"/>
  <c r="D36" i="13"/>
  <c r="H36" i="13"/>
  <c r="L36" i="13"/>
  <c r="P36" i="13"/>
  <c r="I40" i="13"/>
  <c r="Q40" i="13"/>
  <c r="H41" i="13"/>
  <c r="P41" i="13"/>
  <c r="E44" i="13"/>
  <c r="M44" i="13"/>
  <c r="D45" i="13"/>
  <c r="L45" i="13"/>
  <c r="P48" i="13"/>
  <c r="D52" i="13"/>
  <c r="L52" i="13"/>
  <c r="P55" i="13"/>
  <c r="E18" i="15"/>
  <c r="E11" i="15"/>
  <c r="M6" i="15"/>
  <c r="M11" i="15"/>
  <c r="Q6" i="15"/>
  <c r="Q18" i="15"/>
  <c r="Q11" i="15"/>
  <c r="N41" i="33"/>
  <c r="I47" i="33"/>
  <c r="D48" i="33"/>
  <c r="Q18" i="33"/>
  <c r="O49" i="33"/>
  <c r="N55" i="13"/>
  <c r="R55" i="13"/>
  <c r="B52" i="13"/>
  <c r="B42" i="13"/>
  <c r="B45" i="13"/>
  <c r="B41" i="13"/>
  <c r="F52" i="13"/>
  <c r="F42" i="13"/>
  <c r="F45" i="13"/>
  <c r="F41" i="13"/>
  <c r="J52" i="13"/>
  <c r="J42" i="13"/>
  <c r="J45" i="13"/>
  <c r="J41" i="13"/>
  <c r="N52" i="13"/>
  <c r="N42" i="13"/>
  <c r="N45" i="13"/>
  <c r="N41" i="13"/>
  <c r="R52" i="13"/>
  <c r="R42" i="13"/>
  <c r="R45" i="13"/>
  <c r="R41" i="13"/>
  <c r="L28" i="13"/>
  <c r="P28" i="13"/>
  <c r="D33" i="13"/>
  <c r="H33" i="13"/>
  <c r="L33" i="13"/>
  <c r="P33" i="13"/>
  <c r="B35" i="13"/>
  <c r="F35" i="13"/>
  <c r="J35" i="13"/>
  <c r="N35" i="13"/>
  <c r="R35" i="13"/>
  <c r="E36" i="13"/>
  <c r="I36" i="13"/>
  <c r="M36" i="13"/>
  <c r="Q36" i="13"/>
  <c r="D37" i="13"/>
  <c r="H37" i="13"/>
  <c r="L37" i="13"/>
  <c r="P37" i="13"/>
  <c r="P38" i="13"/>
  <c r="E39" i="13"/>
  <c r="B40" i="13"/>
  <c r="J40" i="13"/>
  <c r="R40" i="13"/>
  <c r="I41" i="13"/>
  <c r="Q41" i="13"/>
  <c r="H42" i="13"/>
  <c r="P42" i="13"/>
  <c r="F44" i="13"/>
  <c r="N44" i="13"/>
  <c r="E45" i="13"/>
  <c r="M45" i="13"/>
  <c r="K48" i="13"/>
  <c r="B49" i="13"/>
  <c r="J49" i="13"/>
  <c r="R49" i="13"/>
  <c r="I51" i="13"/>
  <c r="Q51" i="13"/>
  <c r="F53" i="13"/>
  <c r="N53" i="13"/>
  <c r="Q55" i="13"/>
  <c r="D11" i="15"/>
  <c r="F11" i="15"/>
  <c r="N6" i="15"/>
  <c r="R6" i="15"/>
  <c r="M10" i="15"/>
  <c r="Q10" i="15"/>
  <c r="L19" i="15"/>
  <c r="M8" i="33"/>
  <c r="E18" i="33"/>
  <c r="O22" i="33"/>
  <c r="B8" i="33"/>
  <c r="F8" i="33"/>
  <c r="I38" i="33"/>
  <c r="Q38" i="33"/>
  <c r="H39" i="33"/>
  <c r="P39" i="33"/>
  <c r="G40" i="33"/>
  <c r="O40" i="33"/>
  <c r="E8" i="33"/>
  <c r="J47" i="33"/>
  <c r="N47" i="33"/>
  <c r="E48" i="33"/>
  <c r="I48" i="33"/>
  <c r="M48" i="33"/>
  <c r="D49" i="33"/>
  <c r="L49" i="33"/>
  <c r="I18" i="33"/>
  <c r="F21" i="33"/>
  <c r="I22" i="33"/>
  <c r="Q22" i="33"/>
  <c r="H23" i="33"/>
  <c r="F30" i="33"/>
  <c r="G47" i="33"/>
  <c r="B38" i="33"/>
  <c r="Q47" i="33"/>
  <c r="C50" i="33"/>
  <c r="C38" i="33"/>
  <c r="H8" i="33"/>
  <c r="K38" i="33"/>
  <c r="B39" i="33"/>
  <c r="J39" i="33"/>
  <c r="I40" i="33"/>
  <c r="K41" i="33"/>
  <c r="O41" i="33"/>
  <c r="N21" i="33"/>
  <c r="K8" i="33"/>
  <c r="D47" i="33"/>
  <c r="H47" i="33"/>
  <c r="L47" i="33"/>
  <c r="O48" i="33"/>
  <c r="B49" i="33"/>
  <c r="N49" i="33"/>
  <c r="I50" i="33"/>
  <c r="C18" i="33"/>
  <c r="M18" i="33"/>
  <c r="B21" i="33"/>
  <c r="J21" i="33"/>
  <c r="M22" i="33"/>
  <c r="O29" i="33"/>
  <c r="E31" i="33"/>
  <c r="G38" i="33"/>
  <c r="L48" i="33"/>
  <c r="R1" i="33"/>
  <c r="S1" i="33" s="1"/>
  <c r="T1" i="33" s="1"/>
  <c r="U1" i="33" s="1"/>
  <c r="P8" i="33"/>
  <c r="N29" i="33"/>
  <c r="O52" i="33"/>
  <c r="P18" i="33"/>
  <c r="R30" i="33"/>
  <c r="F38" i="33"/>
  <c r="G21" i="33"/>
  <c r="N38" i="33"/>
  <c r="O21" i="33"/>
  <c r="E39" i="33"/>
  <c r="F22" i="33"/>
  <c r="M39" i="33"/>
  <c r="N22" i="33"/>
  <c r="R22" i="33"/>
  <c r="D40" i="33"/>
  <c r="E23" i="33"/>
  <c r="L40" i="33"/>
  <c r="M23" i="33"/>
  <c r="Q23" i="33"/>
  <c r="B41" i="33"/>
  <c r="G8" i="33"/>
  <c r="O8" i="33"/>
  <c r="F47" i="33"/>
  <c r="Q48" i="33"/>
  <c r="H49" i="33"/>
  <c r="I31" i="33"/>
  <c r="P49" i="33"/>
  <c r="Q31" i="33"/>
  <c r="B50" i="33"/>
  <c r="F50" i="33"/>
  <c r="G32" i="33"/>
  <c r="J50" i="33"/>
  <c r="N50" i="33"/>
  <c r="O32" i="33"/>
  <c r="P52" i="33"/>
  <c r="G18" i="33"/>
  <c r="O18" i="33"/>
  <c r="E29" i="33"/>
  <c r="M29" i="33"/>
  <c r="C31" i="33"/>
  <c r="M31" i="33"/>
  <c r="K32" i="33"/>
  <c r="O38" i="33"/>
  <c r="I39" i="33"/>
  <c r="M40" i="33"/>
  <c r="C41" i="33"/>
  <c r="M47" i="33"/>
  <c r="P48" i="33"/>
  <c r="M43" i="33"/>
  <c r="N8" i="33"/>
  <c r="Q43" i="33"/>
  <c r="M52" i="33"/>
  <c r="N31" i="33"/>
  <c r="N18" i="33"/>
  <c r="N52" i="33"/>
  <c r="Q52" i="33"/>
  <c r="R18" i="33"/>
  <c r="N23" i="33"/>
  <c r="N30" i="33"/>
  <c r="D38" i="33"/>
  <c r="E21" i="33"/>
  <c r="H38" i="33"/>
  <c r="I21" i="33"/>
  <c r="L38" i="33"/>
  <c r="M21" i="33"/>
  <c r="P38" i="33"/>
  <c r="Q21" i="33"/>
  <c r="C39" i="33"/>
  <c r="D22" i="33"/>
  <c r="G39" i="33"/>
  <c r="H22" i="33"/>
  <c r="K39" i="33"/>
  <c r="L22" i="33"/>
  <c r="O39" i="33"/>
  <c r="P22" i="33"/>
  <c r="B40" i="33"/>
  <c r="C23" i="33"/>
  <c r="F40" i="33"/>
  <c r="G23" i="33"/>
  <c r="J40" i="33"/>
  <c r="K23" i="33"/>
  <c r="N40" i="33"/>
  <c r="O23" i="33"/>
  <c r="D41" i="33"/>
  <c r="H41" i="33"/>
  <c r="L41" i="33"/>
  <c r="D37" i="24"/>
  <c r="P47" i="33"/>
  <c r="C48" i="33"/>
  <c r="G48" i="33"/>
  <c r="K48" i="33"/>
  <c r="F49" i="33"/>
  <c r="J49" i="33"/>
  <c r="K31" i="33"/>
  <c r="D50" i="33"/>
  <c r="H50" i="33"/>
  <c r="I32" i="33"/>
  <c r="L50" i="33"/>
  <c r="P50" i="33"/>
  <c r="R21" i="33"/>
  <c r="P23" i="33"/>
  <c r="I29" i="33"/>
  <c r="Q29" i="33"/>
  <c r="H30" i="33"/>
  <c r="P30" i="33"/>
  <c r="G31" i="33"/>
  <c r="R31" i="33"/>
  <c r="E32" i="33"/>
  <c r="M32" i="33"/>
  <c r="J38" i="33"/>
  <c r="D39" i="33"/>
  <c r="N39" i="33"/>
  <c r="H40" i="33"/>
  <c r="J41" i="33"/>
  <c r="F48" i="33"/>
  <c r="K49" i="33"/>
  <c r="G41" i="33"/>
  <c r="P43" i="33"/>
  <c r="D8" i="33"/>
  <c r="C47" i="33"/>
  <c r="K47" i="33"/>
  <c r="B48" i="33"/>
  <c r="J48" i="33"/>
  <c r="I49" i="33"/>
  <c r="Q49" i="33"/>
  <c r="G50" i="33"/>
  <c r="O50" i="33"/>
  <c r="D18" i="33"/>
  <c r="H18" i="33"/>
  <c r="L18" i="33"/>
  <c r="D29" i="33"/>
  <c r="L29" i="33"/>
  <c r="P29" i="33"/>
  <c r="C30" i="33"/>
  <c r="G30" i="33"/>
  <c r="K30" i="33"/>
  <c r="O30" i="33"/>
  <c r="E47" i="33"/>
  <c r="H48" i="33"/>
  <c r="C49" i="33"/>
  <c r="R8" i="33"/>
  <c r="E41" i="33"/>
  <c r="I41" i="33"/>
  <c r="M41" i="33"/>
  <c r="Q41" i="33"/>
  <c r="N43" i="33"/>
  <c r="J8" i="33"/>
  <c r="P31" i="33"/>
  <c r="N32" i="33"/>
  <c r="B18" i="33"/>
  <c r="F18" i="33"/>
  <c r="J18" i="33"/>
  <c r="J29" i="33"/>
  <c r="R29" i="33"/>
  <c r="E30" i="33"/>
  <c r="Q30" i="33"/>
  <c r="Q40" i="33"/>
  <c r="G49" i="33"/>
  <c r="E50" i="33"/>
  <c r="Q50" i="33"/>
  <c r="K6" i="15"/>
  <c r="L10" i="15"/>
  <c r="L6" i="15"/>
  <c r="F18" i="15"/>
  <c r="N18" i="15"/>
  <c r="N10" i="15"/>
  <c r="R10" i="15"/>
  <c r="B11" i="15"/>
  <c r="N11" i="15"/>
  <c r="R11" i="15"/>
  <c r="C18" i="15"/>
  <c r="G18" i="15"/>
  <c r="K18" i="15"/>
  <c r="O18" i="15"/>
  <c r="O6" i="15"/>
  <c r="P10" i="15"/>
  <c r="P6" i="15"/>
  <c r="R18" i="15"/>
  <c r="K10" i="15"/>
  <c r="O10" i="15"/>
  <c r="X59" i="19" l="1"/>
  <c r="Y59" i="19"/>
  <c r="E95" i="24"/>
  <c r="E120" i="24"/>
  <c r="I112" i="24"/>
  <c r="E116" i="24"/>
  <c r="E105" i="24"/>
  <c r="E130" i="24"/>
  <c r="E115" i="24"/>
  <c r="E96" i="24"/>
  <c r="E121" i="24"/>
  <c r="I100" i="24"/>
  <c r="E127" i="24"/>
  <c r="S54" i="19"/>
  <c r="F58" i="19"/>
  <c r="Q56" i="19"/>
  <c r="N57" i="19"/>
  <c r="X54" i="19"/>
  <c r="E104" i="24"/>
  <c r="I34" i="24"/>
  <c r="I88" i="24"/>
  <c r="I64" i="24"/>
  <c r="I43" i="24"/>
  <c r="E94" i="24"/>
  <c r="I22" i="24"/>
  <c r="I76" i="24"/>
  <c r="I55" i="24"/>
  <c r="I63" i="24"/>
  <c r="I87" i="24"/>
  <c r="W56" i="19"/>
  <c r="X56" i="19"/>
  <c r="W58" i="19"/>
  <c r="X58" i="19"/>
  <c r="W57" i="19"/>
  <c r="X57" i="19"/>
  <c r="E82" i="24"/>
  <c r="E106" i="24"/>
  <c r="E90" i="24"/>
  <c r="E103" i="24"/>
  <c r="E102" i="24"/>
  <c r="E78" i="24"/>
  <c r="E91" i="24"/>
  <c r="E67" i="24"/>
  <c r="L58" i="19"/>
  <c r="J56" i="19"/>
  <c r="L57" i="19"/>
  <c r="Q57" i="19"/>
  <c r="G58" i="19"/>
  <c r="E80" i="24"/>
  <c r="L12" i="15"/>
  <c r="E70" i="24"/>
  <c r="W54" i="19"/>
  <c r="R21" i="15"/>
  <c r="O59" i="19"/>
  <c r="W59" i="19"/>
  <c r="O9" i="19"/>
  <c r="E79" i="24"/>
  <c r="E46" i="24"/>
  <c r="B56" i="19"/>
  <c r="V56" i="19"/>
  <c r="U58" i="19"/>
  <c r="V58" i="19"/>
  <c r="U57" i="19"/>
  <c r="V57" i="19"/>
  <c r="E60" i="24"/>
  <c r="E81" i="24"/>
  <c r="E61" i="24"/>
  <c r="E66" i="24"/>
  <c r="V54" i="19"/>
  <c r="E50" i="24"/>
  <c r="E71" i="24"/>
  <c r="E51" i="24"/>
  <c r="E72" i="24"/>
  <c r="R22" i="15"/>
  <c r="U59" i="19"/>
  <c r="V59" i="19"/>
  <c r="J57" i="19"/>
  <c r="G56" i="19"/>
  <c r="H58" i="19"/>
  <c r="F56" i="19"/>
  <c r="C58" i="19"/>
  <c r="M56" i="19"/>
  <c r="K57" i="19"/>
  <c r="C57" i="19"/>
  <c r="L56" i="19"/>
  <c r="D56" i="19"/>
  <c r="M58" i="19"/>
  <c r="E58" i="19"/>
  <c r="H57" i="19"/>
  <c r="M57" i="19"/>
  <c r="S58" i="19"/>
  <c r="T58" i="19"/>
  <c r="S57" i="19"/>
  <c r="F57" i="19"/>
  <c r="C56" i="19"/>
  <c r="D58" i="19"/>
  <c r="R56" i="19"/>
  <c r="O58" i="19"/>
  <c r="N58" i="19"/>
  <c r="R58" i="19"/>
  <c r="I56" i="19"/>
  <c r="E56" i="19"/>
  <c r="I57" i="19"/>
  <c r="D57" i="19"/>
  <c r="S56" i="19"/>
  <c r="B58" i="19"/>
  <c r="T56" i="19"/>
  <c r="U56" i="19"/>
  <c r="R57" i="19"/>
  <c r="O56" i="19"/>
  <c r="P58" i="19"/>
  <c r="P57" i="19"/>
  <c r="N56" i="19"/>
  <c r="K58" i="19"/>
  <c r="O57" i="19"/>
  <c r="G57" i="19"/>
  <c r="P56" i="19"/>
  <c r="H56" i="19"/>
  <c r="Q58" i="19"/>
  <c r="I58" i="19"/>
  <c r="E57" i="19"/>
  <c r="T57" i="19"/>
  <c r="U54" i="19"/>
  <c r="E49" i="24"/>
  <c r="E59" i="24"/>
  <c r="U33" i="19"/>
  <c r="U32" i="19" s="1"/>
  <c r="K12" i="15"/>
  <c r="P12" i="15"/>
  <c r="E57" i="24"/>
  <c r="E45" i="24"/>
  <c r="E37" i="24"/>
  <c r="E58" i="24"/>
  <c r="Q22" i="15"/>
  <c r="R42" i="33"/>
  <c r="R51" i="33"/>
  <c r="S12" i="15"/>
  <c r="AA12" i="15"/>
  <c r="Q21" i="15"/>
  <c r="T54" i="19"/>
  <c r="M12" i="15"/>
  <c r="R12" i="15"/>
  <c r="D10" i="24"/>
  <c r="B25" i="33"/>
  <c r="B59" i="19"/>
  <c r="T59" i="19"/>
  <c r="S59" i="19"/>
  <c r="Q12" i="15"/>
  <c r="D20" i="24"/>
  <c r="E132" i="24" s="1"/>
  <c r="N12" i="15"/>
  <c r="D39" i="24"/>
  <c r="E36" i="24"/>
  <c r="D36" i="24"/>
  <c r="E24" i="24"/>
  <c r="P9" i="19"/>
  <c r="B16" i="19"/>
  <c r="B15" i="19" s="1"/>
  <c r="B33" i="19"/>
  <c r="B32" i="19" s="1"/>
  <c r="D59" i="19"/>
  <c r="F54" i="19"/>
  <c r="N9" i="19"/>
  <c r="J54" i="19"/>
  <c r="D51" i="33"/>
  <c r="E33" i="19"/>
  <c r="E32" i="19" s="1"/>
  <c r="H25" i="33"/>
  <c r="Q59" i="19"/>
  <c r="G59" i="19"/>
  <c r="B33" i="33"/>
  <c r="J25" i="33"/>
  <c r="R54" i="19"/>
  <c r="G54" i="19"/>
  <c r="M59" i="19"/>
  <c r="P59" i="19"/>
  <c r="J9" i="19"/>
  <c r="E39" i="24"/>
  <c r="N54" i="19"/>
  <c r="I59" i="19"/>
  <c r="L59" i="19"/>
  <c r="N59" i="19"/>
  <c r="F59" i="19"/>
  <c r="H59" i="19"/>
  <c r="D33" i="19"/>
  <c r="D32" i="19" s="1"/>
  <c r="H54" i="19"/>
  <c r="P33" i="19"/>
  <c r="P32" i="19" s="1"/>
  <c r="Q33" i="19"/>
  <c r="Q32" i="19" s="1"/>
  <c r="R33" i="19"/>
  <c r="R32" i="19" s="1"/>
  <c r="C54" i="19"/>
  <c r="R16" i="19"/>
  <c r="R15" i="19" s="1"/>
  <c r="K59" i="19"/>
  <c r="L33" i="19"/>
  <c r="L32" i="19" s="1"/>
  <c r="M9" i="19"/>
  <c r="P54" i="19"/>
  <c r="H33" i="19"/>
  <c r="H32" i="19" s="1"/>
  <c r="I33" i="19"/>
  <c r="I32" i="19" s="1"/>
  <c r="M54" i="19"/>
  <c r="K54" i="19"/>
  <c r="G33" i="19"/>
  <c r="G32" i="19" s="1"/>
  <c r="K16" i="19"/>
  <c r="K15" i="19" s="1"/>
  <c r="Q16" i="19"/>
  <c r="Q15" i="19" s="1"/>
  <c r="O33" i="19"/>
  <c r="O32" i="19" s="1"/>
  <c r="D16" i="19"/>
  <c r="D15" i="19" s="1"/>
  <c r="D54" i="19"/>
  <c r="N33" i="19"/>
  <c r="N32" i="19" s="1"/>
  <c r="N16" i="19"/>
  <c r="N15" i="19" s="1"/>
  <c r="I54" i="19"/>
  <c r="M16" i="19"/>
  <c r="M15" i="19" s="1"/>
  <c r="P16" i="19"/>
  <c r="P15" i="19" s="1"/>
  <c r="C59" i="19"/>
  <c r="J33" i="19"/>
  <c r="J32" i="19" s="1"/>
  <c r="M33" i="19"/>
  <c r="M32" i="19" s="1"/>
  <c r="J16" i="19"/>
  <c r="J15" i="19" s="1"/>
  <c r="I16" i="19"/>
  <c r="I15" i="19" s="1"/>
  <c r="K33" i="19"/>
  <c r="K32" i="19" s="1"/>
  <c r="C33" i="19"/>
  <c r="C32" i="19" s="1"/>
  <c r="L16" i="19"/>
  <c r="L15" i="19" s="1"/>
  <c r="G16" i="19"/>
  <c r="G15" i="19" s="1"/>
  <c r="O12" i="15"/>
  <c r="L54" i="19"/>
  <c r="F33" i="19"/>
  <c r="F32" i="19" s="1"/>
  <c r="O54" i="19"/>
  <c r="F16" i="19"/>
  <c r="F15" i="19" s="1"/>
  <c r="E16" i="19"/>
  <c r="E15" i="19" s="1"/>
  <c r="E54" i="19"/>
  <c r="H16" i="19"/>
  <c r="H15" i="19" s="1"/>
  <c r="O16" i="19"/>
  <c r="O15" i="19" s="1"/>
  <c r="C16" i="19"/>
  <c r="C15" i="19" s="1"/>
  <c r="Q54" i="19"/>
  <c r="E59" i="19"/>
  <c r="E51" i="33"/>
  <c r="E25" i="33"/>
  <c r="E33" i="33"/>
  <c r="L51" i="33"/>
  <c r="M33" i="33"/>
  <c r="H33" i="33"/>
  <c r="N25" i="33"/>
  <c r="G51" i="33"/>
  <c r="C51" i="33"/>
  <c r="Q51" i="33"/>
  <c r="E25" i="24"/>
  <c r="F38" i="24"/>
  <c r="M51" i="33"/>
  <c r="N33" i="33"/>
  <c r="B31" i="24"/>
  <c r="H24" i="24" s="1"/>
  <c r="R25" i="33"/>
  <c r="O42" i="33"/>
  <c r="P33" i="33"/>
  <c r="O51" i="33"/>
  <c r="Q42" i="33"/>
  <c r="D29" i="24"/>
  <c r="E29" i="24"/>
  <c r="L33" i="33"/>
  <c r="E38" i="24"/>
  <c r="D38" i="24"/>
  <c r="J33" i="33"/>
  <c r="F25" i="33"/>
  <c r="L25" i="33"/>
  <c r="K42" i="33"/>
  <c r="D28" i="24"/>
  <c r="E28" i="24"/>
  <c r="P25" i="33"/>
  <c r="E97" i="24" l="1"/>
  <c r="E122" i="24"/>
  <c r="E83" i="24"/>
  <c r="E107" i="24"/>
  <c r="E73" i="24"/>
  <c r="E3" i="24"/>
  <c r="D52" i="24"/>
  <c r="B32" i="24"/>
  <c r="E17" i="24"/>
  <c r="E62" i="24"/>
  <c r="D11" i="24"/>
  <c r="E52" i="24"/>
  <c r="B41" i="24"/>
  <c r="B42" i="24" s="1"/>
  <c r="C26" i="24"/>
  <c r="E42" i="33"/>
  <c r="I42" i="33"/>
  <c r="D33" i="33"/>
  <c r="F33" i="33"/>
  <c r="E16" i="24"/>
  <c r="E19" i="24"/>
  <c r="E18" i="24"/>
  <c r="D21" i="24"/>
  <c r="E15" i="24"/>
  <c r="R33" i="33"/>
  <c r="C42" i="33"/>
  <c r="C27" i="24"/>
  <c r="D42" i="33"/>
  <c r="D25" i="33"/>
  <c r="H51" i="33"/>
  <c r="I33" i="33"/>
  <c r="G25" i="33"/>
  <c r="F42" i="33"/>
  <c r="N51" i="33"/>
  <c r="O33" i="33"/>
  <c r="M25" i="33"/>
  <c r="L42" i="33"/>
  <c r="P42" i="33"/>
  <c r="Q25" i="33"/>
  <c r="E30" i="24"/>
  <c r="P51" i="33"/>
  <c r="Q33" i="33"/>
  <c r="B42" i="33"/>
  <c r="C25" i="33"/>
  <c r="F51" i="33"/>
  <c r="G33" i="33"/>
  <c r="E40" i="24"/>
  <c r="B51" i="33"/>
  <c r="C33" i="33"/>
  <c r="J42" i="33"/>
  <c r="K25" i="33"/>
  <c r="I51" i="33"/>
  <c r="I25" i="33"/>
  <c r="H42" i="33"/>
  <c r="J51" i="33"/>
  <c r="K33" i="33"/>
  <c r="G42" i="33"/>
  <c r="K51" i="33"/>
  <c r="O25" i="33"/>
  <c r="N42" i="33"/>
  <c r="M42" i="33"/>
  <c r="AC12" i="15"/>
  <c r="C59" i="24" l="1"/>
  <c r="C62" i="24" s="1"/>
  <c r="D62" i="24"/>
  <c r="E20" i="24"/>
  <c r="C5" i="24"/>
  <c r="D40" i="24"/>
  <c r="D41" i="24"/>
  <c r="C25" i="24"/>
  <c r="C36" i="24"/>
  <c r="C37" i="24"/>
  <c r="E10" i="24"/>
  <c r="E4" i="24"/>
  <c r="E7" i="24"/>
  <c r="E9" i="24"/>
  <c r="E8" i="24"/>
  <c r="E41" i="24"/>
  <c r="C40" i="24"/>
  <c r="C38" i="24"/>
  <c r="C39" i="24"/>
  <c r="C30" i="24"/>
  <c r="E31" i="24"/>
  <c r="C24" i="24"/>
  <c r="C29" i="24"/>
  <c r="C28" i="24"/>
  <c r="D30" i="24"/>
  <c r="C31" i="24" l="1"/>
  <c r="C41" i="24"/>
  <c r="C6" i="24"/>
  <c r="C10" i="24"/>
  <c r="C7" i="24"/>
  <c r="C8" i="24"/>
  <c r="C3" i="24"/>
  <c r="C4" i="24"/>
  <c r="C18" i="24"/>
  <c r="C17" i="24"/>
  <c r="C16" i="24"/>
  <c r="C15" i="24"/>
  <c r="C9" i="24"/>
  <c r="D31" i="24"/>
  <c r="C19" i="24"/>
  <c r="C20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GUERINVA</author>
    <author>Newten Dumanoir</author>
    <author>Vanessa Guerin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GUERINVA:</t>
        </r>
        <r>
          <rPr>
            <sz val="8"/>
            <color indexed="81"/>
            <rFont val="Tahoma"/>
            <family val="2"/>
          </rPr>
          <t xml:space="preserve">
COTISANTS ACTIF + EFFECTIF FSV (voir fascicule page 9 en 2012)</t>
        </r>
      </text>
    </comment>
    <comment ref="S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A compter de 2017, la ligne CNRSI AVIC du fascicule correspond à la fusion des 2 régiles vieillesse de base du RSI (à compter de 2018, SSI, Sécurité Sociale des Indépendants).</t>
        </r>
      </text>
    </comment>
    <comment ref="A6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>Vanessa Guerin:</t>
        </r>
        <r>
          <rPr>
            <sz val="8"/>
            <color indexed="81"/>
            <rFont val="Tahoma"/>
            <family val="2"/>
          </rPr>
          <t xml:space="preserve">
source INSEE</t>
        </r>
      </text>
    </comment>
    <comment ref="N6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Vanessa Guerin:</t>
        </r>
        <r>
          <rPr>
            <sz val="8"/>
            <color indexed="81"/>
            <rFont val="Tahoma"/>
            <family val="2"/>
          </rPr>
          <t xml:space="preserve">
Au 1er janvier 2013
(France métropole)</t>
        </r>
      </text>
    </comment>
    <comment ref="O6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Vanessa Guerin:</t>
        </r>
        <r>
          <rPr>
            <sz val="8"/>
            <color indexed="81"/>
            <rFont val="Tahoma"/>
            <family val="2"/>
          </rPr>
          <t xml:space="preserve">
Au 1er janvier 2014
(France métropole)</t>
        </r>
      </text>
    </comment>
    <comment ref="P6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Vanessa Guerin:</t>
        </r>
        <r>
          <rPr>
            <sz val="8"/>
            <color indexed="81"/>
            <rFont val="Tahoma"/>
            <family val="2"/>
          </rPr>
          <t xml:space="preserve">
Au 1er janvier 2015
(France métropole)</t>
        </r>
      </text>
    </comment>
    <comment ref="Q6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Vanessa Guerin:</t>
        </r>
        <r>
          <rPr>
            <sz val="8"/>
            <color indexed="81"/>
            <rFont val="Tahoma"/>
            <family val="2"/>
          </rPr>
          <t xml:space="preserve">
Au 1er janvier 2016
(France métropole)</t>
        </r>
      </text>
    </comment>
    <comment ref="R6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Vanessa Guerin:</t>
        </r>
        <r>
          <rPr>
            <sz val="9"/>
            <color indexed="81"/>
            <rFont val="Tahoma"/>
            <family val="2"/>
          </rPr>
          <t xml:space="preserve">
Au 1er janvier 2017
(France métropole)</t>
        </r>
      </text>
    </comment>
    <comment ref="X33" authorId="1" shapeId="0" xr:uid="{D0D47BF5-E8FB-4DA3-B96E-4D1DC2CAF699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lire : RG &gt; 1 cotisant pour 0,5 retraité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Newten Dumanoir</author>
  </authors>
  <commentList>
    <comment ref="E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A compter de 2017, la ligne CNRSI AVIC du fascicule correspond à la fusion des 2 régiles vieillesse de base du RSI (à compter de 2018, SSI, Sécurité Sociale des Indépendants).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Newten Dumanoir</author>
  </authors>
  <commentList>
    <comment ref="AE1" authorId="0" shapeId="0" xr:uid="{33871D2C-80D1-47FD-B859-0C59B07EB9C9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Newten Dumanoir:
source : fascicule acomptes - nov 2019_20191126 VF ; page 3</t>
        </r>
      </text>
    </comment>
    <comment ref="AF1" authorId="0" shapeId="0" xr:uid="{CFBFA097-50C4-47C2-97EF-08C85A58EB9E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Newten Dumanoir:
Fascicule acomptes - nov 2020_envoi 27nov2020_V2
</t>
        </r>
      </text>
    </comment>
    <comment ref="AE11" authorId="0" shapeId="0" xr:uid="{47537769-8313-4786-BD96-B06475846E37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Newten Dumanoir:
source : fascicule acomptes - nov 2019_20191126 VF ; page 3</t>
        </r>
      </text>
    </comment>
    <comment ref="AF11" authorId="0" shapeId="0" xr:uid="{8EF306DE-22C6-45A5-982C-E7811348AE72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Newten Dumanoir:
source : fascicule acomptes - nov 2019_20191126 VF ; page 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Newten Dumanoir</author>
  </authors>
  <commentList>
    <comment ref="I112" authorId="0" shapeId="0" xr:uid="{6B5A85A5-39CA-45E9-AE39-FAD74BF99A27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  <comment ref="I113" authorId="0" shapeId="0" xr:uid="{542D4E54-3C82-4FFE-9273-11B31D8BB9FD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  <comment ref="F114" authorId="0" shapeId="0" xr:uid="{E2E066D5-1563-41F4-9867-DFC776D419BC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Effectifs cotisants 2022
</t>
        </r>
      </text>
    </comment>
    <comment ref="F115" authorId="0" shapeId="0" xr:uid="{94A0B46F-EFEE-4DE0-95F3-61257C11BB9A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Effectifs cotisants 2023</t>
        </r>
      </text>
    </comment>
    <comment ref="G115" authorId="0" shapeId="0" xr:uid="{2E03BB93-6364-4D94-8E16-7E59850A3286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Evol</t>
        </r>
      </text>
    </comment>
    <comment ref="H115" authorId="0" shapeId="0" xr:uid="{35671D5B-F807-457F-A25C-A3BAE88134E0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% RA+RG+RSI sur Total en 2023</t>
        </r>
      </text>
    </comment>
    <comment ref="I125" authorId="0" shapeId="0" xr:uid="{031E8977-A08D-48C4-8D74-68E102EB356F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  <comment ref="F128" authorId="0" shapeId="0" xr:uid="{271FBA31-4260-4769-B062-29AED5FB2D11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2023</t>
        </r>
      </text>
    </comment>
    <comment ref="H128" authorId="0" shapeId="0" xr:uid="{3A4F2A43-838E-40B1-8DDF-F51A2023C182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2023/2022</t>
        </r>
      </text>
    </comment>
    <comment ref="F129" authorId="0" shapeId="0" xr:uid="{B3FDFE0E-AC0C-4B0B-A679-48AD7E41A243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  <comment ref="G129" authorId="0" shapeId="0" xr:uid="{5506FB87-A1D9-4CEA-88ED-883EFE8C5B1B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  <comment ref="H129" authorId="0" shapeId="0" xr:uid="{40FB2BD6-856A-4407-BF71-B4814ED3D5EB}">
      <text>
        <r>
          <rPr>
            <b/>
            <sz val="9"/>
            <color indexed="81"/>
            <rFont val="Tahoma"/>
            <charset val="1"/>
          </rPr>
          <t>Newten Dumanoir:</t>
        </r>
        <r>
          <rPr>
            <sz val="9"/>
            <color indexed="81"/>
            <rFont val="Tahoma"/>
            <charset val="1"/>
          </rPr>
          <t xml:space="preserve">
ok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GUERINVA</author>
    <author>Newten Dumanoir</author>
  </authors>
  <commentList>
    <comment ref="M2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GUERINVA:</t>
        </r>
        <r>
          <rPr>
            <sz val="8"/>
            <color indexed="81"/>
            <rFont val="Tahoma"/>
            <family val="2"/>
          </rPr>
          <t xml:space="preserve">
Chiffres définitifs provenant de l'arrêté JO du 15/12/2012.</t>
        </r>
      </text>
    </comment>
    <comment ref="AC2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H:\21-STATISTIQUES\01_STATS_MISSION_SYNTHESES\03_FINANCEMENT\02_COMPENSATION DEMO\Exercice2020\5-Fascicules
Fascicule calculs def 2019_envoi 27nov2020_V2
page 10/13
</t>
        </r>
      </text>
    </comment>
    <comment ref="AE2" authorId="1" shapeId="0" xr:uid="{00000000-0006-0000-0E00-000003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H:\21-STATISTIQUES\01_STATS_MISSION_SYNTHESES\03_FINANCEMENT\02_COMPENSATION DEMO\Exercice2019\6-Fascicules\Commentaires des calculs pour 2019
page 1/4</t>
        </r>
      </text>
    </comment>
    <comment ref="AG2" authorId="1" shapeId="0" xr:uid="{00000000-0006-0000-0E00-000004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H:\21-STATISTIQUES\01_STATS_MISSION_SYNTHESES\03_FINANCEMENT\02_COMPENSATION DEMO\Exercice2019\6-Fascicules\Commentaires des calculs pour 2019
page 1/4</t>
        </r>
      </text>
    </comment>
    <comment ref="AM2" authorId="1" shapeId="0" xr:uid="{00000000-0006-0000-0E00-000005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H:\21-STATISTIQUES\01_STATS_MISSION_SYNTHESES\03_FINANCEMENT\02_COMPENSATION DEMO\Exercice2019\6-Fascicules\Commentaires des calculs pour 2019
page 1/4</t>
        </r>
      </text>
    </comment>
    <comment ref="AO2" authorId="1" shapeId="0" xr:uid="{00000000-0006-0000-0E00-000006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H:\21-STATISTIQUES\01_STATS_MISSION_SYNTHESES\03_FINANCEMENT\02_COMPENSATION DEMO\Exercice2019\6-Fascicules\Commentaires des calculs pour 2019
page 1/4</t>
        </r>
      </text>
    </comment>
    <comment ref="AH5" authorId="1" shapeId="0" xr:uid="{00000000-0006-0000-0E00-000007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mettre --</t>
        </r>
      </text>
    </comment>
    <comment ref="AN5" authorId="1" shapeId="0" xr:uid="{00000000-0006-0000-0E00-000008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mettre ++</t>
        </r>
      </text>
    </comment>
    <comment ref="AP5" authorId="1" shapeId="0" xr:uid="{00000000-0006-0000-0E00-000009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mettre ++</t>
        </r>
      </text>
    </comment>
    <comment ref="AN21" authorId="1" shapeId="0" xr:uid="{00000000-0006-0000-0E00-00000A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mettre --
</t>
        </r>
      </text>
    </comment>
    <comment ref="AP21" authorId="1" shapeId="0" xr:uid="{00000000-0006-0000-0E00-00000B000000}">
      <text>
        <r>
          <rPr>
            <b/>
            <sz val="9"/>
            <color indexed="81"/>
            <rFont val="Tahoma"/>
            <family val="2"/>
          </rPr>
          <t>Newten Dumanoir:</t>
        </r>
        <r>
          <rPr>
            <sz val="9"/>
            <color indexed="81"/>
            <rFont val="Tahoma"/>
            <family val="2"/>
          </rPr>
          <t xml:space="preserve">
mettre --
</t>
        </r>
      </text>
    </comment>
  </commentList>
</comments>
</file>

<file path=xl/sharedStrings.xml><?xml version="1.0" encoding="utf-8"?>
<sst xmlns="http://schemas.openxmlformats.org/spreadsheetml/2006/main" count="483" uniqueCount="152">
  <si>
    <t>SA</t>
  </si>
  <si>
    <t>NSA</t>
  </si>
  <si>
    <t>CNAV</t>
  </si>
  <si>
    <t>COTISANTS</t>
  </si>
  <si>
    <t>RETRAITES</t>
  </si>
  <si>
    <t>RAPPORT DEMOG</t>
  </si>
  <si>
    <t>Simu n°1
Compensation Démographique Viellesse
Généralisée</t>
  </si>
  <si>
    <t>Entre salariés &amp; non-salariés</t>
  </si>
  <si>
    <t>Régimes</t>
  </si>
  <si>
    <t>Régime Général</t>
  </si>
  <si>
    <t>Salariés Agricoles</t>
  </si>
  <si>
    <t>Fonctionnaires Civiles</t>
  </si>
  <si>
    <t>Fonctionnaires militaires</t>
  </si>
  <si>
    <t>Ouvriers de l'Etat</t>
  </si>
  <si>
    <t>CNR des Agents des Collectivités Locales</t>
  </si>
  <si>
    <t>Mines</t>
  </si>
  <si>
    <t>SNCF</t>
  </si>
  <si>
    <t>RATP</t>
  </si>
  <si>
    <t>Marins</t>
  </si>
  <si>
    <t>CNIEG (ex EDF-GDF)</t>
  </si>
  <si>
    <t>CRP des Clercs et Employés de Notaires</t>
  </si>
  <si>
    <t>Banque de France</t>
  </si>
  <si>
    <t>SEITA</t>
  </si>
  <si>
    <t>CAMR</t>
  </si>
  <si>
    <t>Total salariés</t>
  </si>
  <si>
    <t>Exploitants agricoles</t>
  </si>
  <si>
    <t>CANAM</t>
  </si>
  <si>
    <t>CNAV des Professions Libérales</t>
  </si>
  <si>
    <t xml:space="preserve">CN des Barreaux Français </t>
  </si>
  <si>
    <t>CAVIMAC</t>
  </si>
  <si>
    <t>Total Non Salariés</t>
  </si>
  <si>
    <t>Ensemble</t>
  </si>
  <si>
    <t>Montant négatif= régime qui reçoit</t>
  </si>
  <si>
    <t>Montant positif= régime qui verse</t>
  </si>
  <si>
    <t>Régimes spéciaux de non salariés</t>
  </si>
  <si>
    <t>Régimes spéciaux de salariés</t>
  </si>
  <si>
    <t>Régimes spéciaux</t>
  </si>
  <si>
    <t>Total tous régimes</t>
  </si>
  <si>
    <t>COTISANTS VIEILLESSE</t>
  </si>
  <si>
    <t>RETRAITES 65ans&amp;+</t>
  </si>
  <si>
    <t>Part du RA</t>
  </si>
  <si>
    <t>Effectifs</t>
  </si>
  <si>
    <t>Evolution par rapport à 2000</t>
  </si>
  <si>
    <t>Total</t>
  </si>
  <si>
    <t>Cotisants PV</t>
  </si>
  <si>
    <t>Retraités</t>
  </si>
  <si>
    <t>REGIME DE BASE</t>
  </si>
  <si>
    <t>SALARIES</t>
  </si>
  <si>
    <t>NON SALARIES</t>
  </si>
  <si>
    <t>REGIME GENERAL</t>
  </si>
  <si>
    <t>REGIMES SPECIAUX</t>
  </si>
  <si>
    <t>SALARIES AGRICOLES</t>
  </si>
  <si>
    <t>EXPLOITANTS AGRICOLES</t>
  </si>
  <si>
    <t>NON SALARIES NON AGRICOLES</t>
  </si>
  <si>
    <t>CNAMTS</t>
  </si>
  <si>
    <t>CNAVTS</t>
  </si>
  <si>
    <t>CNAF</t>
  </si>
  <si>
    <t>MSA</t>
  </si>
  <si>
    <t>BANQUE DE France</t>
  </si>
  <si>
    <t>CNBF</t>
  </si>
  <si>
    <t>CNIEG</t>
  </si>
  <si>
    <t>CNAVPL</t>
  </si>
  <si>
    <t>CNRACL</t>
  </si>
  <si>
    <t>CRPCEN</t>
  </si>
  <si>
    <t>FONCTIONNAIRES CIVILS</t>
  </si>
  <si>
    <t>FONCTIONNAIRES MILITAIRES</t>
  </si>
  <si>
    <t>MARINS</t>
  </si>
  <si>
    <t>MINES</t>
  </si>
  <si>
    <t>OUVRIERS DE L'ETAT</t>
  </si>
  <si>
    <t>RSI</t>
  </si>
  <si>
    <t>Régime général vieillesse</t>
  </si>
  <si>
    <t>Régime des SA</t>
  </si>
  <si>
    <t>Régime des NSA</t>
  </si>
  <si>
    <r>
      <t>Régime des SA</t>
    </r>
    <r>
      <rPr>
        <vertAlign val="superscript"/>
        <sz val="10"/>
        <rFont val="Arial"/>
        <family val="2"/>
      </rPr>
      <t>1</t>
    </r>
  </si>
  <si>
    <r>
      <t>1</t>
    </r>
    <r>
      <rPr>
        <sz val="9"/>
        <rFont val="Arial"/>
        <family val="2"/>
      </rPr>
      <t>y compris les cotisants chômeurs</t>
    </r>
  </si>
  <si>
    <r>
      <t>Régime général vieillesse</t>
    </r>
    <r>
      <rPr>
        <vertAlign val="superscript"/>
        <sz val="10"/>
        <rFont val="Arial"/>
        <family val="2"/>
      </rPr>
      <t>1</t>
    </r>
  </si>
  <si>
    <t>Evolutions annuelles</t>
  </si>
  <si>
    <t>Population métropole</t>
  </si>
  <si>
    <t>Cotisants</t>
  </si>
  <si>
    <t>Retraités de 65 ans et plus</t>
  </si>
  <si>
    <t>Ceux qui versent</t>
  </si>
  <si>
    <t>Montants</t>
  </si>
  <si>
    <t>%</t>
  </si>
  <si>
    <t>TOTAL</t>
  </si>
  <si>
    <t>Ceux qui reçoivent</t>
  </si>
  <si>
    <t>Ensemble Régimes agricoles</t>
  </si>
  <si>
    <t>Total salariés MSA (évolution annuelle)</t>
  </si>
  <si>
    <t>Total Non Salariés MSA (Evolution annuelle)</t>
  </si>
  <si>
    <t>Ensemble Total des tranferts des régimes agricoles</t>
  </si>
  <si>
    <t>Non-salariés agricoles</t>
  </si>
  <si>
    <t>Salariés agricoles</t>
  </si>
  <si>
    <t>Structure (en %)</t>
  </si>
  <si>
    <t>Fonctionnaires Civils</t>
  </si>
  <si>
    <t>En 2016 et 2017, le ratio démographique du RSI s'améliorerait en raison de l'intégration de l'ensemble des auto-entrepreneurs avec un chiffre d'affaire non nul dès 2016 et à l'intégration des effectifs ACCRE à compter de 2017 du fait de la compensation par l'Etat des exonérations afférentes.</t>
  </si>
  <si>
    <t>Attention pour 2016 !</t>
  </si>
  <si>
    <t>COTISANTS (part pop FR)</t>
  </si>
  <si>
    <t>RETRAITES (part pop FR)</t>
  </si>
  <si>
    <t>&lt;= Ecart</t>
  </si>
  <si>
    <t>dont actifs cotisants</t>
  </si>
  <si>
    <t>dont cotisants chômeurs, stagiaires et apprentis</t>
  </si>
  <si>
    <t>SSI (ex RSI)</t>
  </si>
  <si>
    <t>Transferts définitifs - Décembre 2019</t>
  </si>
  <si>
    <t>Pour note</t>
  </si>
  <si>
    <t>SSI</t>
  </si>
  <si>
    <t>Total RA</t>
  </si>
  <si>
    <t>RA</t>
  </si>
  <si>
    <t>Régime des indépendants</t>
  </si>
  <si>
    <t>Evolution par rapport à 2018</t>
  </si>
  <si>
    <t>Cotisants / rythme annuel moyen :</t>
  </si>
  <si>
    <t>Retraités / rythme annuel moyen :</t>
  </si>
  <si>
    <t>Evolution par rapport à 2019</t>
  </si>
  <si>
    <t>ok</t>
  </si>
  <si>
    <t>Evolution par rapport à 2020</t>
  </si>
  <si>
    <t>RA total</t>
  </si>
  <si>
    <t xml:space="preserve"> </t>
  </si>
  <si>
    <t>Régime Général - CNAVTS</t>
  </si>
  <si>
    <t>Etat - Personnels Civils</t>
  </si>
  <si>
    <t>Etat - Personnels militaires</t>
  </si>
  <si>
    <t>Etat - FSPOEIE (ouvriers de l'Etat)</t>
  </si>
  <si>
    <t>CANSSM (Mines)</t>
  </si>
  <si>
    <t>CPRP SNCF</t>
  </si>
  <si>
    <t>CRP RATP</t>
  </si>
  <si>
    <t>ENIM - Marins</t>
  </si>
  <si>
    <t>CRPCEN (Clercs et Notaires)</t>
  </si>
  <si>
    <t>évol 2022/2000</t>
  </si>
  <si>
    <t>rythme annuel moyen 2000-2022</t>
  </si>
  <si>
    <t>2024(p)</t>
  </si>
  <si>
    <t>Evolution par rapport à 2021</t>
  </si>
  <si>
    <t>Ratios</t>
  </si>
  <si>
    <t>(Px régimes)</t>
  </si>
  <si>
    <t>Total régime agricole</t>
  </si>
  <si>
    <t>Evolution égime agricole</t>
  </si>
  <si>
    <t>Données graphique 7</t>
  </si>
  <si>
    <t>évol 2023/2000</t>
  </si>
  <si>
    <t>rythme annuel moyen 2000-2023</t>
  </si>
  <si>
    <t>EVOL 2023/2022</t>
  </si>
  <si>
    <t>Régime des indépendants SSI</t>
  </si>
  <si>
    <t>2025(p)</t>
  </si>
  <si>
    <t>Evolution par rapport à 2022</t>
  </si>
  <si>
    <t>Cotisants PV 2000</t>
  </si>
  <si>
    <t>2025 (p)</t>
  </si>
  <si>
    <r>
      <t>Directrice de la publication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: Nadia JOUBERT</t>
    </r>
  </si>
  <si>
    <t>joubert.nadia@ccmsa.msa.fr</t>
  </si>
  <si>
    <t>Responsable : David FOUCAUD</t>
  </si>
  <si>
    <t>foucaud.david@ccmsa.msa.fr</t>
  </si>
  <si>
    <t>Auteure : Newten DUMANOIR</t>
  </si>
  <si>
    <t>dumanoir.newten@ccmsa.msa.fr</t>
  </si>
  <si>
    <t>Juin 2025</t>
  </si>
  <si>
    <t>Compensation démographique 2023</t>
  </si>
  <si>
    <t>Direction des Statistiques et de la Science des données</t>
  </si>
  <si>
    <t>Département Synthèse et Valorisation</t>
  </si>
  <si>
    <t>Service Analyse d Financement et prévisions Financement et gestion du risque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</si>
</sst>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"/>
    <numFmt numFmtId="166" formatCode="0.0%"/>
    <numFmt numFmtId="167" formatCode="\+0.0%;\-0.0%;General"/>
    <numFmt numFmtId="168" formatCode="_-* #,##0\ _€_-;\-* #,##0\ _€_-;_-* &quot;-&quot;??\ _€_-;_-@_-"/>
    <numFmt numFmtId="169" formatCode="0.0"/>
    <numFmt numFmtId="170" formatCode="_-* #,##0.0\ _€_-;\-* #,##0.0\ _€_-;_-* &quot;-&quot;??\ _€_-;_-@_-"/>
    <numFmt numFmtId="171" formatCode="0.000"/>
  </numFmts>
  <fonts count="6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Comic Sans MS"/>
      <family val="4"/>
    </font>
    <font>
      <sz val="10"/>
      <name val="Comic Sans MS"/>
      <family val="4"/>
    </font>
    <font>
      <sz val="8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sz val="8"/>
      <color indexed="10"/>
      <name val="Comic Sans MS"/>
      <family val="4"/>
    </font>
    <font>
      <sz val="10"/>
      <color indexed="10"/>
      <name val="Comic Sans MS"/>
      <family val="4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rgb="FF99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3" tint="0.39997558519241921"/>
      <name val="Comic Sans MS"/>
      <family val="4"/>
    </font>
    <font>
      <sz val="8"/>
      <color theme="3" tint="0.39997558519241921"/>
      <name val="Comic Sans MS"/>
      <family val="4"/>
    </font>
    <font>
      <sz val="10"/>
      <color theme="3" tint="0.39997558519241921"/>
      <name val="Comic Sans MS"/>
      <family val="4"/>
    </font>
    <font>
      <sz val="10"/>
      <name val="Arial"/>
      <family val="2"/>
    </font>
    <font>
      <sz val="10"/>
      <color theme="4"/>
      <name val="Arial"/>
      <family val="2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theme="0"/>
      <name val="Arial"/>
      <family val="2"/>
    </font>
    <font>
      <i/>
      <sz val="10"/>
      <color rgb="FFFF0000"/>
      <name val="Arial"/>
      <family val="2"/>
    </font>
    <font>
      <u/>
      <sz val="10"/>
      <color rgb="FF92D050"/>
      <name val="Arial"/>
      <family val="2"/>
    </font>
    <font>
      <b/>
      <u/>
      <sz val="10"/>
      <name val="Arial"/>
      <family val="2"/>
    </font>
    <font>
      <sz val="8"/>
      <color rgb="FF00B050"/>
      <name val="Comic Sans MS"/>
      <family val="4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8"/>
      <color rgb="FF00B050"/>
      <name val="Arial"/>
      <family val="2"/>
    </font>
    <font>
      <sz val="8"/>
      <color rgb="FF9900FF"/>
      <name val="Arial"/>
      <family val="2"/>
    </font>
    <font>
      <sz val="10"/>
      <color rgb="FF9900FF"/>
      <name val="Arial"/>
      <family val="2"/>
    </font>
    <font>
      <b/>
      <u/>
      <sz val="10"/>
      <color rgb="FF7030A0"/>
      <name val="Arial"/>
      <family val="2"/>
    </font>
    <font>
      <b/>
      <u/>
      <sz val="10"/>
      <color rgb="FF00B050"/>
      <name val="Arial"/>
      <family val="2"/>
    </font>
    <font>
      <b/>
      <u/>
      <sz val="10"/>
      <color rgb="FF92D050"/>
      <name val="Arial"/>
      <family val="2"/>
    </font>
    <font>
      <b/>
      <sz val="10"/>
      <color rgb="FF92D050"/>
      <name val="Arial"/>
      <family val="2"/>
    </font>
    <font>
      <u/>
      <sz val="10"/>
      <name val="Arial"/>
      <family val="2"/>
    </font>
    <font>
      <sz val="8"/>
      <color rgb="FFFF3300"/>
      <name val="Comic Sans MS"/>
      <family val="4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0"/>
      <name val="Arial"/>
      <family val="2"/>
    </font>
    <font>
      <u/>
      <sz val="10"/>
      <color theme="7" tint="-0.499984740745262"/>
      <name val="Arial"/>
      <family val="2"/>
    </font>
    <font>
      <b/>
      <u/>
      <sz val="10"/>
      <color rgb="FF99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  <font>
      <sz val="10"/>
      <color theme="5" tint="-0.249977111117893"/>
      <name val="Comic Sans MS"/>
      <family val="4"/>
    </font>
    <font>
      <b/>
      <sz val="10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12"/>
      <color rgb="FF0070C0"/>
      <name val="Arial"/>
      <family val="2"/>
    </font>
    <font>
      <b/>
      <sz val="24"/>
      <color rgb="FF0070C0"/>
      <name val="Calibri"/>
      <family val="2"/>
    </font>
    <font>
      <b/>
      <sz val="16"/>
      <color rgb="FF0070C0"/>
      <name val="Calibri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569">
    <xf numFmtId="0" fontId="0" fillId="0" borderId="0" xfId="0"/>
    <xf numFmtId="0" fontId="0" fillId="2" borderId="0" xfId="0" applyFill="1" applyAlignment="1">
      <alignment horizontal="center"/>
    </xf>
    <xf numFmtId="3" fontId="0" fillId="0" borderId="0" xfId="0" applyNumberFormat="1"/>
    <xf numFmtId="0" fontId="2" fillId="3" borderId="0" xfId="0" applyFont="1" applyFill="1" applyAlignment="1">
      <alignment horizontal="center"/>
    </xf>
    <xf numFmtId="9" fontId="0" fillId="0" borderId="0" xfId="2" applyFont="1"/>
    <xf numFmtId="165" fontId="0" fillId="0" borderId="0" xfId="2" applyNumberFormat="1" applyFont="1"/>
    <xf numFmtId="3" fontId="4" fillId="0" borderId="0" xfId="0" applyNumberFormat="1" applyFont="1"/>
    <xf numFmtId="0" fontId="4" fillId="0" borderId="0" xfId="0" applyFont="1"/>
    <xf numFmtId="0" fontId="6" fillId="0" borderId="1" xfId="0" applyFont="1" applyBorder="1" applyAlignment="1">
      <alignment horizontal="centerContinuous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/>
    <xf numFmtId="0" fontId="9" fillId="0" borderId="5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0" fontId="7" fillId="0" borderId="5" xfId="1" applyFont="1" applyBorder="1" applyAlignment="1" applyProtection="1">
      <alignment horizontal="left"/>
    </xf>
    <xf numFmtId="0" fontId="7" fillId="0" borderId="5" xfId="0" applyFont="1" applyBorder="1" applyAlignment="1">
      <alignment horizontal="left"/>
    </xf>
    <xf numFmtId="0" fontId="7" fillId="0" borderId="5" xfId="1" applyFont="1" applyBorder="1" applyAlignment="1" applyProtection="1"/>
    <xf numFmtId="0" fontId="7" fillId="0" borderId="9" xfId="0" applyFont="1" applyBorder="1"/>
    <xf numFmtId="0" fontId="10" fillId="0" borderId="5" xfId="0" applyFont="1" applyBorder="1"/>
    <xf numFmtId="0" fontId="12" fillId="0" borderId="0" xfId="0" applyFont="1"/>
    <xf numFmtId="0" fontId="7" fillId="0" borderId="12" xfId="0" applyFont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0" fontId="7" fillId="0" borderId="1" xfId="0" applyFont="1" applyBorder="1"/>
    <xf numFmtId="3" fontId="8" fillId="0" borderId="16" xfId="0" applyNumberFormat="1" applyFont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0" fontId="8" fillId="0" borderId="0" xfId="0" applyFont="1"/>
    <xf numFmtId="9" fontId="7" fillId="0" borderId="0" xfId="2" applyFont="1"/>
    <xf numFmtId="166" fontId="8" fillId="0" borderId="6" xfId="2" applyNumberFormat="1" applyFont="1" applyBorder="1"/>
    <xf numFmtId="166" fontId="8" fillId="0" borderId="10" xfId="2" applyNumberFormat="1" applyFont="1" applyBorder="1"/>
    <xf numFmtId="166" fontId="8" fillId="0" borderId="13" xfId="2" applyNumberFormat="1" applyFont="1" applyBorder="1"/>
    <xf numFmtId="166" fontId="8" fillId="0" borderId="16" xfId="2" applyNumberFormat="1" applyFont="1" applyBorder="1"/>
    <xf numFmtId="166" fontId="7" fillId="0" borderId="0" xfId="2" applyNumberFormat="1" applyFont="1"/>
    <xf numFmtId="166" fontId="8" fillId="0" borderId="19" xfId="2" applyNumberFormat="1" applyFont="1" applyBorder="1"/>
    <xf numFmtId="166" fontId="8" fillId="0" borderId="20" xfId="2" applyNumberFormat="1" applyFont="1" applyBorder="1"/>
    <xf numFmtId="166" fontId="11" fillId="4" borderId="2" xfId="2" applyNumberFormat="1" applyFont="1" applyFill="1" applyBorder="1"/>
    <xf numFmtId="166" fontId="8" fillId="4" borderId="6" xfId="2" applyNumberFormat="1" applyFont="1" applyFill="1" applyBorder="1"/>
    <xf numFmtId="1" fontId="7" fillId="0" borderId="2" xfId="2" applyNumberFormat="1" applyFont="1" applyBorder="1" applyAlignment="1">
      <alignment horizontal="center"/>
    </xf>
    <xf numFmtId="3" fontId="7" fillId="0" borderId="2" xfId="2" applyNumberFormat="1" applyFont="1" applyBorder="1" applyAlignment="1">
      <alignment horizontal="center"/>
    </xf>
    <xf numFmtId="3" fontId="8" fillId="0" borderId="6" xfId="2" applyNumberFormat="1" applyFont="1" applyBorder="1"/>
    <xf numFmtId="3" fontId="8" fillId="0" borderId="10" xfId="2" applyNumberFormat="1" applyFont="1" applyBorder="1"/>
    <xf numFmtId="3" fontId="11" fillId="0" borderId="2" xfId="2" applyNumberFormat="1" applyFont="1" applyBorder="1"/>
    <xf numFmtId="3" fontId="8" fillId="0" borderId="13" xfId="2" applyNumberFormat="1" applyFont="1" applyBorder="1"/>
    <xf numFmtId="3" fontId="8" fillId="0" borderId="16" xfId="2" applyNumberFormat="1" applyFont="1" applyBorder="1"/>
    <xf numFmtId="165" fontId="0" fillId="0" borderId="0" xfId="0" applyNumberFormat="1"/>
    <xf numFmtId="166" fontId="0" fillId="0" borderId="0" xfId="2" applyNumberFormat="1" applyFont="1"/>
    <xf numFmtId="3" fontId="8" fillId="5" borderId="2" xfId="2" applyNumberFormat="1" applyFont="1" applyFill="1" applyBorder="1"/>
    <xf numFmtId="3" fontId="8" fillId="5" borderId="6" xfId="2" applyNumberFormat="1" applyFont="1" applyFill="1" applyBorder="1"/>
    <xf numFmtId="3" fontId="8" fillId="5" borderId="10" xfId="2" applyNumberFormat="1" applyFont="1" applyFill="1" applyBorder="1"/>
    <xf numFmtId="3" fontId="11" fillId="5" borderId="2" xfId="2" applyNumberFormat="1" applyFont="1" applyFill="1" applyBorder="1"/>
    <xf numFmtId="3" fontId="8" fillId="5" borderId="13" xfId="2" applyNumberFormat="1" applyFont="1" applyFill="1" applyBorder="1"/>
    <xf numFmtId="3" fontId="8" fillId="5" borderId="16" xfId="2" applyNumberFormat="1" applyFont="1" applyFill="1" applyBorder="1"/>
    <xf numFmtId="9" fontId="8" fillId="0" borderId="2" xfId="2" applyFont="1" applyBorder="1"/>
    <xf numFmtId="9" fontId="8" fillId="0" borderId="6" xfId="2" applyFont="1" applyBorder="1"/>
    <xf numFmtId="9" fontId="8" fillId="0" borderId="10" xfId="2" applyFont="1" applyBorder="1"/>
    <xf numFmtId="9" fontId="11" fillId="0" borderId="2" xfId="2" applyFont="1" applyBorder="1"/>
    <xf numFmtId="9" fontId="8" fillId="0" borderId="13" xfId="2" applyFont="1" applyBorder="1"/>
    <xf numFmtId="9" fontId="8" fillId="0" borderId="16" xfId="2" applyFont="1" applyBorder="1"/>
    <xf numFmtId="0" fontId="0" fillId="0" borderId="0" xfId="0" applyFill="1" applyAlignment="1">
      <alignment horizontal="center"/>
    </xf>
    <xf numFmtId="3" fontId="0" fillId="0" borderId="0" xfId="0" applyNumberFormat="1" applyFill="1"/>
    <xf numFmtId="0" fontId="0" fillId="0" borderId="0" xfId="0" applyFill="1"/>
    <xf numFmtId="9" fontId="0" fillId="0" borderId="0" xfId="2" applyFont="1" applyFill="1"/>
    <xf numFmtId="166" fontId="0" fillId="0" borderId="0" xfId="2" applyNumberFormat="1" applyFont="1" applyFill="1"/>
    <xf numFmtId="9" fontId="1" fillId="0" borderId="0" xfId="2"/>
    <xf numFmtId="9" fontId="1" fillId="0" borderId="0" xfId="2" applyFill="1"/>
    <xf numFmtId="166" fontId="1" fillId="0" borderId="0" xfId="2" applyNumberFormat="1"/>
    <xf numFmtId="166" fontId="1" fillId="0" borderId="0" xfId="2" applyNumberFormat="1" applyFill="1"/>
    <xf numFmtId="165" fontId="1" fillId="0" borderId="0" xfId="2" applyNumberFormat="1"/>
    <xf numFmtId="165" fontId="0" fillId="0" borderId="0" xfId="0" applyNumberFormat="1" applyFill="1"/>
    <xf numFmtId="3" fontId="7" fillId="0" borderId="0" xfId="0" applyNumberFormat="1" applyFont="1"/>
    <xf numFmtId="166" fontId="11" fillId="4" borderId="6" xfId="2" applyNumberFormat="1" applyFont="1" applyFill="1" applyBorder="1"/>
    <xf numFmtId="10" fontId="0" fillId="0" borderId="0" xfId="2" applyNumberFormat="1" applyFont="1" applyFill="1"/>
    <xf numFmtId="1" fontId="0" fillId="0" borderId="0" xfId="2" applyNumberFormat="1" applyFont="1"/>
    <xf numFmtId="9" fontId="1" fillId="0" borderId="0" xfId="2" applyNumberFormat="1"/>
    <xf numFmtId="9" fontId="0" fillId="0" borderId="0" xfId="2" applyNumberFormat="1" applyFont="1" applyFill="1"/>
    <xf numFmtId="166" fontId="1" fillId="0" borderId="0" xfId="2" applyNumberFormat="1" applyAlignment="1">
      <alignment horizontal="left" indent="4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21" xfId="0" applyBorder="1"/>
    <xf numFmtId="3" fontId="0" fillId="0" borderId="21" xfId="0" applyNumberFormat="1" applyBorder="1" applyAlignment="1">
      <alignment horizontal="right"/>
    </xf>
    <xf numFmtId="166" fontId="0" fillId="0" borderId="21" xfId="2" applyNumberFormat="1" applyFont="1" applyBorder="1" applyAlignment="1">
      <alignment horizontal="right"/>
    </xf>
    <xf numFmtId="0" fontId="2" fillId="0" borderId="22" xfId="0" applyFont="1" applyBorder="1"/>
    <xf numFmtId="3" fontId="2" fillId="0" borderId="22" xfId="0" applyNumberFormat="1" applyFon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166" fontId="0" fillId="0" borderId="23" xfId="2" applyNumberFormat="1" applyFont="1" applyBorder="1" applyAlignment="1">
      <alignment horizontal="right"/>
    </xf>
    <xf numFmtId="0" fontId="0" fillId="0" borderId="22" xfId="0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/>
    <xf numFmtId="0" fontId="16" fillId="0" borderId="32" xfId="0" applyFont="1" applyBorder="1" applyAlignment="1">
      <alignment horizontal="right"/>
    </xf>
    <xf numFmtId="3" fontId="16" fillId="0" borderId="32" xfId="0" applyNumberFormat="1" applyFont="1" applyBorder="1" applyAlignment="1">
      <alignment horizontal="right"/>
    </xf>
    <xf numFmtId="0" fontId="16" fillId="0" borderId="33" xfId="0" applyFont="1" applyBorder="1" applyAlignment="1">
      <alignment horizontal="right"/>
    </xf>
    <xf numFmtId="3" fontId="16" fillId="0" borderId="33" xfId="0" applyNumberFormat="1" applyFont="1" applyBorder="1" applyAlignment="1">
      <alignment horizontal="right"/>
    </xf>
    <xf numFmtId="0" fontId="14" fillId="0" borderId="0" xfId="0" applyFont="1"/>
    <xf numFmtId="3" fontId="8" fillId="0" borderId="19" xfId="2" applyNumberFormat="1" applyFont="1" applyBorder="1"/>
    <xf numFmtId="3" fontId="8" fillId="0" borderId="20" xfId="2" applyNumberFormat="1" applyFont="1" applyBorder="1"/>
    <xf numFmtId="0" fontId="2" fillId="0" borderId="0" xfId="0" applyFont="1" applyBorder="1"/>
    <xf numFmtId="166" fontId="2" fillId="0" borderId="0" xfId="2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4" xfId="0" applyBorder="1"/>
    <xf numFmtId="3" fontId="0" fillId="0" borderId="34" xfId="0" applyNumberFormat="1" applyBorder="1" applyAlignment="1">
      <alignment horizontal="right"/>
    </xf>
    <xf numFmtId="166" fontId="0" fillId="0" borderId="34" xfId="2" applyNumberFormat="1" applyFont="1" applyBorder="1" applyAlignment="1">
      <alignment horizontal="right"/>
    </xf>
    <xf numFmtId="166" fontId="2" fillId="0" borderId="21" xfId="2" applyNumberFormat="1" applyFont="1" applyBorder="1" applyAlignment="1">
      <alignment horizontal="right"/>
    </xf>
    <xf numFmtId="166" fontId="2" fillId="0" borderId="34" xfId="2" applyNumberFormat="1" applyFont="1" applyBorder="1" applyAlignment="1">
      <alignment horizontal="right"/>
    </xf>
    <xf numFmtId="1" fontId="1" fillId="0" borderId="0" xfId="2" applyNumberFormat="1"/>
    <xf numFmtId="10" fontId="1" fillId="0" borderId="0" xfId="2" applyNumberFormat="1" applyFill="1"/>
    <xf numFmtId="9" fontId="0" fillId="0" borderId="0" xfId="0" applyNumberFormat="1"/>
    <xf numFmtId="0" fontId="7" fillId="0" borderId="35" xfId="0" applyFont="1" applyBorder="1" applyAlignment="1">
      <alignment horizontal="center"/>
    </xf>
    <xf numFmtId="3" fontId="8" fillId="0" borderId="36" xfId="0" applyNumberFormat="1" applyFont="1" applyBorder="1"/>
    <xf numFmtId="0" fontId="7" fillId="0" borderId="37" xfId="0" applyFont="1" applyBorder="1" applyAlignment="1">
      <alignment horizontal="center"/>
    </xf>
    <xf numFmtId="3" fontId="8" fillId="0" borderId="0" xfId="0" applyNumberFormat="1" applyFont="1" applyBorder="1"/>
    <xf numFmtId="3" fontId="8" fillId="0" borderId="39" xfId="0" applyNumberFormat="1" applyFont="1" applyBorder="1"/>
    <xf numFmtId="3" fontId="0" fillId="0" borderId="0" xfId="0" applyNumberFormat="1" applyAlignment="1">
      <alignment horizontal="center"/>
    </xf>
    <xf numFmtId="166" fontId="0" fillId="0" borderId="0" xfId="0" applyNumberFormat="1"/>
    <xf numFmtId="3" fontId="8" fillId="0" borderId="48" xfId="0" applyNumberFormat="1" applyFont="1" applyBorder="1"/>
    <xf numFmtId="0" fontId="7" fillId="0" borderId="47" xfId="0" applyFont="1" applyBorder="1" applyAlignment="1">
      <alignment horizontal="center"/>
    </xf>
    <xf numFmtId="3" fontId="8" fillId="0" borderId="49" xfId="0" applyNumberFormat="1" applyFont="1" applyBorder="1"/>
    <xf numFmtId="3" fontId="8" fillId="0" borderId="47" xfId="0" applyNumberFormat="1" applyFont="1" applyBorder="1"/>
    <xf numFmtId="0" fontId="19" fillId="0" borderId="0" xfId="0" applyFont="1"/>
    <xf numFmtId="167" fontId="0" fillId="0" borderId="21" xfId="2" applyNumberFormat="1" applyFont="1" applyBorder="1" applyAlignment="1">
      <alignment horizontal="right"/>
    </xf>
    <xf numFmtId="167" fontId="2" fillId="0" borderId="22" xfId="2" applyNumberFormat="1" applyFont="1" applyBorder="1" applyAlignment="1">
      <alignment horizontal="right"/>
    </xf>
    <xf numFmtId="3" fontId="0" fillId="0" borderId="0" xfId="0" applyNumberFormat="1" applyAlignment="1">
      <alignment horizontal="center" vertical="center" wrapText="1"/>
    </xf>
    <xf numFmtId="167" fontId="2" fillId="0" borderId="21" xfId="2" applyNumberFormat="1" applyFont="1" applyBorder="1" applyAlignment="1">
      <alignment horizontal="right"/>
    </xf>
    <xf numFmtId="4" fontId="0" fillId="0" borderId="0" xfId="0" applyNumberFormat="1" applyAlignment="1">
      <alignment horizontal="center"/>
    </xf>
    <xf numFmtId="167" fontId="0" fillId="0" borderId="0" xfId="0" applyNumberFormat="1"/>
    <xf numFmtId="166" fontId="8" fillId="0" borderId="14" xfId="0" applyNumberFormat="1" applyFont="1" applyBorder="1"/>
    <xf numFmtId="0" fontId="7" fillId="0" borderId="1" xfId="0" applyFont="1" applyBorder="1" applyAlignment="1">
      <alignment wrapText="1"/>
    </xf>
    <xf numFmtId="166" fontId="7" fillId="0" borderId="0" xfId="0" applyNumberFormat="1" applyFont="1"/>
    <xf numFmtId="9" fontId="0" fillId="0" borderId="0" xfId="0" applyNumberFormat="1" applyAlignment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 applyBorder="1" applyAlignment="1">
      <alignment horizontal="right"/>
    </xf>
    <xf numFmtId="166" fontId="20" fillId="0" borderId="0" xfId="2" applyNumberFormat="1" applyFont="1" applyBorder="1" applyAlignment="1">
      <alignment horizontal="right"/>
    </xf>
    <xf numFmtId="0" fontId="1" fillId="0" borderId="22" xfId="0" applyFont="1" applyBorder="1" applyAlignment="1">
      <alignment horizontal="center" vertical="center" wrapText="1"/>
    </xf>
    <xf numFmtId="2" fontId="0" fillId="0" borderId="0" xfId="2" applyNumberFormat="1" applyFont="1"/>
    <xf numFmtId="3" fontId="21" fillId="0" borderId="23" xfId="0" applyNumberFormat="1" applyFont="1" applyBorder="1" applyAlignment="1">
      <alignment horizontal="right"/>
    </xf>
    <xf numFmtId="0" fontId="21" fillId="0" borderId="0" xfId="0" applyFont="1"/>
    <xf numFmtId="0" fontId="1" fillId="0" borderId="0" xfId="0" applyFont="1"/>
    <xf numFmtId="0" fontId="23" fillId="0" borderId="0" xfId="0" applyFont="1"/>
    <xf numFmtId="3" fontId="22" fillId="0" borderId="0" xfId="0" applyNumberFormat="1" applyFont="1"/>
    <xf numFmtId="0" fontId="7" fillId="11" borderId="4" xfId="0" applyFont="1" applyFill="1" applyBorder="1" applyAlignment="1">
      <alignment horizontal="center"/>
    </xf>
    <xf numFmtId="3" fontId="8" fillId="11" borderId="19" xfId="2" applyNumberFormat="1" applyFont="1" applyFill="1" applyBorder="1"/>
    <xf numFmtId="3" fontId="8" fillId="11" borderId="6" xfId="2" applyNumberFormat="1" applyFont="1" applyFill="1" applyBorder="1"/>
    <xf numFmtId="166" fontId="8" fillId="11" borderId="10" xfId="2" applyNumberFormat="1" applyFont="1" applyFill="1" applyBorder="1"/>
    <xf numFmtId="3" fontId="11" fillId="11" borderId="2" xfId="2" applyNumberFormat="1" applyFont="1" applyFill="1" applyBorder="1"/>
    <xf numFmtId="166" fontId="8" fillId="11" borderId="14" xfId="0" applyNumberFormat="1" applyFont="1" applyFill="1" applyBorder="1"/>
    <xf numFmtId="3" fontId="8" fillId="11" borderId="16" xfId="2" applyNumberFormat="1" applyFont="1" applyFill="1" applyBorder="1"/>
    <xf numFmtId="166" fontId="7" fillId="11" borderId="0" xfId="0" applyNumberFormat="1" applyFont="1" applyFill="1"/>
    <xf numFmtId="0" fontId="7" fillId="10" borderId="4" xfId="0" applyFont="1" applyFill="1" applyBorder="1" applyAlignment="1">
      <alignment horizontal="center"/>
    </xf>
    <xf numFmtId="3" fontId="8" fillId="10" borderId="19" xfId="2" applyNumberFormat="1" applyFont="1" applyFill="1" applyBorder="1"/>
    <xf numFmtId="3" fontId="8" fillId="10" borderId="6" xfId="2" applyNumberFormat="1" applyFont="1" applyFill="1" applyBorder="1"/>
    <xf numFmtId="166" fontId="8" fillId="10" borderId="10" xfId="2" applyNumberFormat="1" applyFont="1" applyFill="1" applyBorder="1"/>
    <xf numFmtId="3" fontId="11" fillId="10" borderId="2" xfId="2" applyNumberFormat="1" applyFont="1" applyFill="1" applyBorder="1"/>
    <xf numFmtId="3" fontId="8" fillId="10" borderId="16" xfId="2" applyNumberFormat="1" applyFont="1" applyFill="1" applyBorder="1"/>
    <xf numFmtId="166" fontId="7" fillId="10" borderId="0" xfId="0" applyNumberFormat="1" applyFont="1" applyFill="1"/>
    <xf numFmtId="0" fontId="26" fillId="0" borderId="5" xfId="0" applyFont="1" applyBorder="1"/>
    <xf numFmtId="3" fontId="27" fillId="0" borderId="20" xfId="2" applyNumberFormat="1" applyFont="1" applyBorder="1"/>
    <xf numFmtId="0" fontId="28" fillId="0" borderId="0" xfId="0" applyFont="1"/>
    <xf numFmtId="3" fontId="27" fillId="11" borderId="20" xfId="2" applyNumberFormat="1" applyFont="1" applyFill="1" applyBorder="1"/>
    <xf numFmtId="3" fontId="27" fillId="10" borderId="20" xfId="2" applyNumberFormat="1" applyFont="1" applyFill="1" applyBorder="1"/>
    <xf numFmtId="4" fontId="0" fillId="0" borderId="0" xfId="0" applyNumberFormat="1"/>
    <xf numFmtId="166" fontId="16" fillId="0" borderId="21" xfId="2" applyNumberFormat="1" applyFont="1" applyBorder="1" applyAlignment="1">
      <alignment horizontal="right"/>
    </xf>
    <xf numFmtId="167" fontId="16" fillId="0" borderId="21" xfId="2" applyNumberFormat="1" applyFont="1" applyBorder="1" applyAlignment="1">
      <alignment horizontal="right"/>
    </xf>
    <xf numFmtId="9" fontId="2" fillId="0" borderId="22" xfId="2" applyFont="1" applyBorder="1" applyAlignment="1">
      <alignment horizontal="right"/>
    </xf>
    <xf numFmtId="0" fontId="1" fillId="0" borderId="23" xfId="0" applyFont="1" applyBorder="1"/>
    <xf numFmtId="3" fontId="15" fillId="0" borderId="32" xfId="0" applyNumberFormat="1" applyFont="1" applyBorder="1" applyAlignment="1">
      <alignment horizontal="right"/>
    </xf>
    <xf numFmtId="166" fontId="15" fillId="0" borderId="21" xfId="2" applyNumberFormat="1" applyFont="1" applyBorder="1" applyAlignment="1">
      <alignment horizontal="right"/>
    </xf>
    <xf numFmtId="168" fontId="30" fillId="0" borderId="0" xfId="3" applyNumberFormat="1" applyFont="1"/>
    <xf numFmtId="3" fontId="16" fillId="12" borderId="32" xfId="0" applyNumberFormat="1" applyFont="1" applyFill="1" applyBorder="1" applyAlignment="1">
      <alignment horizontal="right"/>
    </xf>
    <xf numFmtId="3" fontId="16" fillId="12" borderId="33" xfId="0" applyNumberFormat="1" applyFont="1" applyFill="1" applyBorder="1" applyAlignment="1">
      <alignment horizontal="right"/>
    </xf>
    <xf numFmtId="0" fontId="7" fillId="0" borderId="0" xfId="0" applyFont="1" applyAlignment="1"/>
    <xf numFmtId="166" fontId="0" fillId="0" borderId="0" xfId="0" applyNumberFormat="1" applyFill="1"/>
    <xf numFmtId="0" fontId="7" fillId="0" borderId="5" xfId="0" applyFont="1" applyFill="1" applyBorder="1"/>
    <xf numFmtId="3" fontId="8" fillId="0" borderId="2" xfId="2" applyNumberFormat="1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3" fontId="8" fillId="0" borderId="37" xfId="0" applyNumberFormat="1" applyFont="1" applyFill="1" applyBorder="1"/>
    <xf numFmtId="3" fontId="8" fillId="0" borderId="35" xfId="0" applyNumberFormat="1" applyFont="1" applyFill="1" applyBorder="1"/>
    <xf numFmtId="3" fontId="8" fillId="0" borderId="8" xfId="0" applyNumberFormat="1" applyFont="1" applyFill="1" applyBorder="1"/>
    <xf numFmtId="0" fontId="9" fillId="0" borderId="5" xfId="0" applyFont="1" applyFill="1" applyBorder="1"/>
    <xf numFmtId="3" fontId="8" fillId="0" borderId="6" xfId="2" applyNumberFormat="1" applyFont="1" applyFill="1" applyBorder="1"/>
    <xf numFmtId="3" fontId="8" fillId="0" borderId="6" xfId="0" applyNumberFormat="1" applyFont="1" applyFill="1" applyBorder="1"/>
    <xf numFmtId="3" fontId="8" fillId="0" borderId="7" xfId="0" applyNumberFormat="1" applyFont="1" applyFill="1" applyBorder="1"/>
    <xf numFmtId="3" fontId="6" fillId="0" borderId="0" xfId="0" applyNumberFormat="1" applyFont="1" applyFill="1" applyBorder="1"/>
    <xf numFmtId="3" fontId="6" fillId="0" borderId="36" xfId="0" applyNumberFormat="1" applyFont="1" applyFill="1" applyBorder="1"/>
    <xf numFmtId="3" fontId="6" fillId="0" borderId="8" xfId="0" applyNumberFormat="1" applyFont="1" applyFill="1" applyBorder="1"/>
    <xf numFmtId="3" fontId="8" fillId="0" borderId="0" xfId="0" applyNumberFormat="1" applyFont="1" applyFill="1" applyBorder="1"/>
    <xf numFmtId="3" fontId="8" fillId="0" borderId="36" xfId="0" applyNumberFormat="1" applyFont="1" applyFill="1" applyBorder="1"/>
    <xf numFmtId="0" fontId="7" fillId="0" borderId="5" xfId="1" applyFont="1" applyFill="1" applyBorder="1" applyAlignment="1" applyProtection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5" xfId="1" applyFont="1" applyFill="1" applyBorder="1" applyAlignment="1" applyProtection="1"/>
    <xf numFmtId="3" fontId="8" fillId="0" borderId="48" xfId="0" applyNumberFormat="1" applyFont="1" applyFill="1" applyBorder="1"/>
    <xf numFmtId="0" fontId="7" fillId="0" borderId="9" xfId="0" applyFont="1" applyFill="1" applyBorder="1"/>
    <xf numFmtId="3" fontId="8" fillId="0" borderId="10" xfId="2" applyNumberFormat="1" applyFont="1" applyFill="1" applyBorder="1"/>
    <xf numFmtId="3" fontId="8" fillId="0" borderId="10" xfId="0" applyNumberFormat="1" applyFont="1" applyFill="1" applyBorder="1"/>
    <xf numFmtId="3" fontId="8" fillId="0" borderId="11" xfId="0" applyNumberFormat="1" applyFont="1" applyFill="1" applyBorder="1"/>
    <xf numFmtId="3" fontId="8" fillId="0" borderId="38" xfId="0" applyNumberFormat="1" applyFont="1" applyFill="1" applyBorder="1"/>
    <xf numFmtId="0" fontId="10" fillId="0" borderId="5" xfId="0" applyFont="1" applyFill="1" applyBorder="1"/>
    <xf numFmtId="3" fontId="11" fillId="0" borderId="2" xfId="2" applyNumberFormat="1" applyFont="1" applyFill="1" applyBorder="1"/>
    <xf numFmtId="3" fontId="11" fillId="0" borderId="2" xfId="0" applyNumberFormat="1" applyFont="1" applyFill="1" applyBorder="1"/>
    <xf numFmtId="3" fontId="11" fillId="0" borderId="3" xfId="0" applyNumberFormat="1" applyFont="1" applyFill="1" applyBorder="1"/>
    <xf numFmtId="3" fontId="11" fillId="0" borderId="37" xfId="0" applyNumberFormat="1" applyFont="1" applyFill="1" applyBorder="1"/>
    <xf numFmtId="3" fontId="11" fillId="0" borderId="35" xfId="0" applyNumberFormat="1" applyFont="1" applyFill="1" applyBorder="1"/>
    <xf numFmtId="3" fontId="11" fillId="0" borderId="4" xfId="0" applyNumberFormat="1" applyFont="1" applyFill="1" applyBorder="1"/>
    <xf numFmtId="0" fontId="0" fillId="13" borderId="0" xfId="0" applyFill="1"/>
    <xf numFmtId="0" fontId="1" fillId="0" borderId="0" xfId="0" applyFont="1" applyFill="1"/>
    <xf numFmtId="0" fontId="0" fillId="0" borderId="21" xfId="0" applyFill="1" applyBorder="1"/>
    <xf numFmtId="3" fontId="0" fillId="0" borderId="21" xfId="0" applyNumberFormat="1" applyFill="1" applyBorder="1" applyAlignment="1">
      <alignment horizontal="right"/>
    </xf>
    <xf numFmtId="166" fontId="0" fillId="0" borderId="21" xfId="2" applyNumberFormat="1" applyFont="1" applyFill="1" applyBorder="1" applyAlignment="1">
      <alignment horizontal="right"/>
    </xf>
    <xf numFmtId="167" fontId="0" fillId="0" borderId="34" xfId="2" applyNumberFormat="1" applyFont="1" applyFill="1" applyBorder="1" applyAlignment="1">
      <alignment horizontal="right"/>
    </xf>
    <xf numFmtId="0" fontId="0" fillId="0" borderId="23" xfId="0" applyFill="1" applyBorder="1"/>
    <xf numFmtId="3" fontId="0" fillId="0" borderId="23" xfId="0" applyNumberFormat="1" applyFill="1" applyBorder="1" applyAlignment="1">
      <alignment horizontal="right"/>
    </xf>
    <xf numFmtId="166" fontId="0" fillId="0" borderId="23" xfId="2" applyNumberFormat="1" applyFont="1" applyFill="1" applyBorder="1" applyAlignment="1">
      <alignment horizontal="right"/>
    </xf>
    <xf numFmtId="167" fontId="0" fillId="0" borderId="21" xfId="2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3" fontId="16" fillId="0" borderId="23" xfId="0" applyNumberFormat="1" applyFont="1" applyFill="1" applyBorder="1" applyAlignment="1">
      <alignment horizontal="right"/>
    </xf>
    <xf numFmtId="166" fontId="16" fillId="0" borderId="23" xfId="2" applyNumberFormat="1" applyFont="1" applyFill="1" applyBorder="1" applyAlignment="1">
      <alignment horizontal="right"/>
    </xf>
    <xf numFmtId="0" fontId="2" fillId="0" borderId="22" xfId="0" applyFont="1" applyFill="1" applyBorder="1"/>
    <xf numFmtId="3" fontId="2" fillId="0" borderId="22" xfId="0" applyNumberFormat="1" applyFont="1" applyFill="1" applyBorder="1" applyAlignment="1">
      <alignment horizontal="right"/>
    </xf>
    <xf numFmtId="9" fontId="2" fillId="0" borderId="22" xfId="2" applyFont="1" applyFill="1" applyBorder="1" applyAlignment="1">
      <alignment horizontal="right"/>
    </xf>
    <xf numFmtId="167" fontId="2" fillId="0" borderId="22" xfId="2" applyNumberFormat="1" applyFont="1" applyFill="1" applyBorder="1" applyAlignment="1">
      <alignment horizontal="right"/>
    </xf>
    <xf numFmtId="167" fontId="0" fillId="14" borderId="21" xfId="2" applyNumberFormat="1" applyFont="1" applyFill="1" applyBorder="1" applyAlignment="1">
      <alignment horizontal="right"/>
    </xf>
    <xf numFmtId="166" fontId="0" fillId="15" borderId="0" xfId="2" applyNumberFormat="1" applyFont="1" applyFill="1" applyAlignment="1">
      <alignment horizontal="left"/>
    </xf>
    <xf numFmtId="3" fontId="16" fillId="7" borderId="23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66" fontId="1" fillId="0" borderId="0" xfId="2" applyNumberFormat="1" applyAlignment="1"/>
    <xf numFmtId="166" fontId="0" fillId="0" borderId="0" xfId="2" applyNumberFormat="1" applyFont="1" applyFill="1" applyAlignment="1"/>
    <xf numFmtId="10" fontId="8" fillId="0" borderId="10" xfId="2" applyNumberFormat="1" applyFont="1" applyBorder="1"/>
    <xf numFmtId="0" fontId="31" fillId="0" borderId="0" xfId="0" applyFont="1"/>
    <xf numFmtId="166" fontId="31" fillId="0" borderId="0" xfId="2" applyNumberFormat="1" applyFont="1"/>
    <xf numFmtId="167" fontId="0" fillId="13" borderId="21" xfId="2" applyNumberFormat="1" applyFont="1" applyFill="1" applyBorder="1" applyAlignment="1">
      <alignment horizontal="right"/>
    </xf>
    <xf numFmtId="167" fontId="0" fillId="16" borderId="21" xfId="2" applyNumberFormat="1" applyFont="1" applyFill="1" applyBorder="1" applyAlignment="1">
      <alignment horizontal="right"/>
    </xf>
    <xf numFmtId="167" fontId="0" fillId="17" borderId="21" xfId="2" applyNumberFormat="1" applyFont="1" applyFill="1" applyBorder="1" applyAlignment="1">
      <alignment horizontal="right"/>
    </xf>
    <xf numFmtId="167" fontId="0" fillId="18" borderId="21" xfId="2" applyNumberFormat="1" applyFont="1" applyFill="1" applyBorder="1" applyAlignment="1">
      <alignment horizontal="right"/>
    </xf>
    <xf numFmtId="166" fontId="0" fillId="17" borderId="21" xfId="2" applyNumberFormat="1" applyFont="1" applyFill="1" applyBorder="1" applyAlignment="1">
      <alignment horizontal="right"/>
    </xf>
    <xf numFmtId="167" fontId="0" fillId="20" borderId="21" xfId="2" applyNumberFormat="1" applyFont="1" applyFill="1" applyBorder="1" applyAlignment="1">
      <alignment horizontal="right"/>
    </xf>
    <xf numFmtId="166" fontId="0" fillId="20" borderId="21" xfId="2" applyNumberFormat="1" applyFont="1" applyFill="1" applyBorder="1" applyAlignment="1">
      <alignment horizontal="right"/>
    </xf>
    <xf numFmtId="3" fontId="0" fillId="20" borderId="21" xfId="0" applyNumberFormat="1" applyFill="1" applyBorder="1" applyAlignment="1">
      <alignment horizontal="right"/>
    </xf>
    <xf numFmtId="3" fontId="0" fillId="21" borderId="21" xfId="0" applyNumberFormat="1" applyFill="1" applyBorder="1" applyAlignment="1">
      <alignment horizontal="right"/>
    </xf>
    <xf numFmtId="3" fontId="1" fillId="21" borderId="23" xfId="0" applyNumberFormat="1" applyFont="1" applyFill="1" applyBorder="1" applyAlignment="1">
      <alignment horizontal="right"/>
    </xf>
    <xf numFmtId="167" fontId="0" fillId="19" borderId="34" xfId="2" applyNumberFormat="1" applyFont="1" applyFill="1" applyBorder="1" applyAlignment="1">
      <alignment horizontal="right"/>
    </xf>
    <xf numFmtId="3" fontId="8" fillId="22" borderId="8" xfId="0" applyNumberFormat="1" applyFont="1" applyFill="1" applyBorder="1"/>
    <xf numFmtId="166" fontId="8" fillId="22" borderId="8" xfId="2" applyNumberFormat="1" applyFont="1" applyFill="1" applyBorder="1"/>
    <xf numFmtId="3" fontId="6" fillId="22" borderId="8" xfId="0" applyNumberFormat="1" applyFont="1" applyFill="1" applyBorder="1"/>
    <xf numFmtId="3" fontId="8" fillId="22" borderId="48" xfId="0" applyNumberFormat="1" applyFont="1" applyFill="1" applyBorder="1"/>
    <xf numFmtId="3" fontId="8" fillId="22" borderId="38" xfId="0" applyNumberFormat="1" applyFont="1" applyFill="1" applyBorder="1"/>
    <xf numFmtId="3" fontId="11" fillId="22" borderId="4" xfId="0" applyNumberFormat="1" applyFont="1" applyFill="1" applyBorder="1"/>
    <xf numFmtId="3" fontId="8" fillId="22" borderId="39" xfId="0" applyNumberFormat="1" applyFont="1" applyFill="1" applyBorder="1"/>
    <xf numFmtId="3" fontId="8" fillId="22" borderId="47" xfId="0" applyNumberFormat="1" applyFont="1" applyFill="1" applyBorder="1"/>
    <xf numFmtId="3" fontId="7" fillId="22" borderId="0" xfId="0" applyNumberFormat="1" applyFont="1" applyFill="1"/>
    <xf numFmtId="166" fontId="7" fillId="22" borderId="0" xfId="2" applyNumberFormat="1" applyFont="1" applyFill="1"/>
    <xf numFmtId="0" fontId="7" fillId="22" borderId="47" xfId="0" applyFont="1" applyFill="1" applyBorder="1" applyAlignment="1">
      <alignment horizontal="center"/>
    </xf>
    <xf numFmtId="166" fontId="32" fillId="22" borderId="8" xfId="2" applyNumberFormat="1" applyFont="1" applyFill="1" applyBorder="1"/>
    <xf numFmtId="0" fontId="7" fillId="0" borderId="0" xfId="0" applyFont="1" applyFill="1"/>
    <xf numFmtId="0" fontId="7" fillId="0" borderId="47" xfId="0" applyFont="1" applyFill="1" applyBorder="1" applyAlignment="1">
      <alignment horizontal="center"/>
    </xf>
    <xf numFmtId="3" fontId="8" fillId="0" borderId="39" xfId="0" applyNumberFormat="1" applyFont="1" applyFill="1" applyBorder="1"/>
    <xf numFmtId="3" fontId="8" fillId="0" borderId="47" xfId="0" applyNumberFormat="1" applyFont="1" applyFill="1" applyBorder="1"/>
    <xf numFmtId="166" fontId="7" fillId="0" borderId="0" xfId="2" applyNumberFormat="1" applyFont="1" applyFill="1"/>
    <xf numFmtId="0" fontId="7" fillId="0" borderId="4" xfId="0" applyFont="1" applyFill="1" applyBorder="1" applyAlignment="1">
      <alignment horizontal="center"/>
    </xf>
    <xf numFmtId="166" fontId="8" fillId="0" borderId="19" xfId="2" applyNumberFormat="1" applyFont="1" applyFill="1" applyBorder="1"/>
    <xf numFmtId="166" fontId="8" fillId="0" borderId="6" xfId="2" applyNumberFormat="1" applyFont="1" applyFill="1" applyBorder="1"/>
    <xf numFmtId="166" fontId="8" fillId="0" borderId="10" xfId="2" applyNumberFormat="1" applyFont="1" applyFill="1" applyBorder="1"/>
    <xf numFmtId="166" fontId="11" fillId="0" borderId="2" xfId="2" applyNumberFormat="1" applyFont="1" applyFill="1" applyBorder="1"/>
    <xf numFmtId="166" fontId="11" fillId="0" borderId="6" xfId="2" applyNumberFormat="1" applyFont="1" applyFill="1" applyBorder="1"/>
    <xf numFmtId="166" fontId="8" fillId="0" borderId="13" xfId="2" applyNumberFormat="1" applyFont="1" applyFill="1" applyBorder="1"/>
    <xf numFmtId="3" fontId="8" fillId="0" borderId="18" xfId="0" applyNumberFormat="1" applyFont="1" applyFill="1" applyBorder="1"/>
    <xf numFmtId="3" fontId="8" fillId="23" borderId="16" xfId="2" applyNumberFormat="1" applyFont="1" applyFill="1" applyBorder="1"/>
    <xf numFmtId="3" fontId="11" fillId="23" borderId="2" xfId="2" applyNumberFormat="1" applyFont="1" applyFill="1" applyBorder="1"/>
    <xf numFmtId="3" fontId="27" fillId="23" borderId="20" xfId="2" applyNumberFormat="1" applyFont="1" applyFill="1" applyBorder="1"/>
    <xf numFmtId="169" fontId="0" fillId="0" borderId="0" xfId="0" applyNumberFormat="1"/>
    <xf numFmtId="169" fontId="1" fillId="0" borderId="0" xfId="2" applyNumberFormat="1"/>
    <xf numFmtId="167" fontId="33" fillId="24" borderId="21" xfId="2" applyNumberFormat="1" applyFont="1" applyFill="1" applyBorder="1" applyAlignment="1">
      <alignment horizontal="right"/>
    </xf>
    <xf numFmtId="167" fontId="22" fillId="0" borderId="21" xfId="2" applyNumberFormat="1" applyFont="1" applyBorder="1" applyAlignment="1">
      <alignment horizontal="right"/>
    </xf>
    <xf numFmtId="167" fontId="22" fillId="17" borderId="21" xfId="2" applyNumberFormat="1" applyFont="1" applyFill="1" applyBorder="1" applyAlignment="1">
      <alignment horizontal="right"/>
    </xf>
    <xf numFmtId="3" fontId="0" fillId="0" borderId="0" xfId="0" applyNumberFormat="1" applyBorder="1"/>
    <xf numFmtId="3" fontId="8" fillId="7" borderId="8" xfId="0" applyNumberFormat="1" applyFont="1" applyFill="1" applyBorder="1"/>
    <xf numFmtId="3" fontId="6" fillId="7" borderId="8" xfId="0" applyNumberFormat="1" applyFont="1" applyFill="1" applyBorder="1"/>
    <xf numFmtId="3" fontId="8" fillId="7" borderId="38" xfId="0" applyNumberFormat="1" applyFont="1" applyFill="1" applyBorder="1"/>
    <xf numFmtId="3" fontId="11" fillId="7" borderId="4" xfId="0" applyNumberFormat="1" applyFont="1" applyFill="1" applyBorder="1"/>
    <xf numFmtId="3" fontId="7" fillId="7" borderId="0" xfId="0" applyNumberFormat="1" applyFont="1" applyFill="1"/>
    <xf numFmtId="0" fontId="31" fillId="25" borderId="0" xfId="0" applyFont="1" applyFill="1"/>
    <xf numFmtId="3" fontId="31" fillId="25" borderId="0" xfId="0" applyNumberFormat="1" applyFont="1" applyFill="1"/>
    <xf numFmtId="166" fontId="0" fillId="0" borderId="0" xfId="0" applyNumberFormat="1" applyAlignment="1">
      <alignment horizontal="center"/>
    </xf>
    <xf numFmtId="166" fontId="8" fillId="8" borderId="14" xfId="0" applyNumberFormat="1" applyFont="1" applyFill="1" applyBorder="1"/>
    <xf numFmtId="166" fontId="32" fillId="8" borderId="10" xfId="2" applyNumberFormat="1" applyFont="1" applyFill="1" applyBorder="1"/>
    <xf numFmtId="169" fontId="0" fillId="0" borderId="0" xfId="2" applyNumberFormat="1" applyFont="1"/>
    <xf numFmtId="0" fontId="34" fillId="0" borderId="0" xfId="0" applyFont="1"/>
    <xf numFmtId="0" fontId="20" fillId="0" borderId="0" xfId="0" applyFont="1" applyBorder="1" applyAlignment="1">
      <alignment horizontal="center"/>
    </xf>
    <xf numFmtId="166" fontId="0" fillId="15" borderId="0" xfId="2" applyNumberFormat="1" applyFont="1" applyFill="1" applyBorder="1" applyAlignment="1">
      <alignment horizontal="left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2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7" fontId="0" fillId="0" borderId="0" xfId="2" applyNumberFormat="1" applyFont="1" applyFill="1" applyBorder="1" applyAlignment="1">
      <alignment horizontal="right"/>
    </xf>
    <xf numFmtId="167" fontId="0" fillId="14" borderId="0" xfId="2" applyNumberFormat="1" applyFont="1" applyFill="1" applyBorder="1" applyAlignment="1">
      <alignment horizontal="right"/>
    </xf>
    <xf numFmtId="3" fontId="16" fillId="7" borderId="0" xfId="0" applyNumberFormat="1" applyFont="1" applyFill="1" applyBorder="1" applyAlignment="1">
      <alignment horizontal="right"/>
    </xf>
    <xf numFmtId="166" fontId="16" fillId="0" borderId="0" xfId="2" applyNumberFormat="1" applyFont="1" applyFill="1" applyBorder="1" applyAlignment="1">
      <alignment horizontal="right"/>
    </xf>
    <xf numFmtId="167" fontId="0" fillId="16" borderId="0" xfId="2" applyNumberFormat="1" applyFont="1" applyFill="1" applyBorder="1" applyAlignment="1">
      <alignment horizontal="right"/>
    </xf>
    <xf numFmtId="167" fontId="0" fillId="13" borderId="0" xfId="2" applyNumberFormat="1" applyFont="1" applyFill="1" applyBorder="1" applyAlignment="1">
      <alignment horizontal="right"/>
    </xf>
    <xf numFmtId="3" fontId="0" fillId="20" borderId="0" xfId="0" applyNumberFormat="1" applyFill="1" applyBorder="1" applyAlignment="1">
      <alignment horizontal="right"/>
    </xf>
    <xf numFmtId="167" fontId="22" fillId="17" borderId="0" xfId="2" applyNumberFormat="1" applyFont="1" applyFill="1" applyBorder="1" applyAlignment="1">
      <alignment horizontal="right"/>
    </xf>
    <xf numFmtId="3" fontId="0" fillId="21" borderId="0" xfId="0" applyNumberFormat="1" applyFill="1" applyBorder="1" applyAlignment="1">
      <alignment horizontal="right"/>
    </xf>
    <xf numFmtId="167" fontId="0" fillId="18" borderId="0" xfId="2" applyNumberFormat="1" applyFont="1" applyFill="1" applyBorder="1" applyAlignment="1">
      <alignment horizontal="right"/>
    </xf>
    <xf numFmtId="167" fontId="0" fillId="0" borderId="0" xfId="2" applyNumberFormat="1" applyFont="1" applyBorder="1" applyAlignment="1">
      <alignment horizontal="right"/>
    </xf>
    <xf numFmtId="0" fontId="14" fillId="0" borderId="0" xfId="0" applyFont="1" applyBorder="1"/>
    <xf numFmtId="166" fontId="0" fillId="0" borderId="0" xfId="2" applyNumberFormat="1" applyFont="1" applyBorder="1" applyAlignment="1">
      <alignment horizontal="right"/>
    </xf>
    <xf numFmtId="167" fontId="22" fillId="0" borderId="0" xfId="2" applyNumberFormat="1" applyFont="1" applyBorder="1" applyAlignment="1">
      <alignment horizontal="right"/>
    </xf>
    <xf numFmtId="166" fontId="2" fillId="0" borderId="22" xfId="2" applyNumberFormat="1" applyFont="1" applyBorder="1" applyAlignment="1">
      <alignment horizontal="right"/>
    </xf>
    <xf numFmtId="169" fontId="0" fillId="0" borderId="19" xfId="0" applyNumberFormat="1" applyBorder="1" applyAlignment="1">
      <alignment horizontal="center"/>
    </xf>
    <xf numFmtId="169" fontId="0" fillId="0" borderId="20" xfId="0" applyNumberFormat="1" applyBorder="1" applyAlignment="1">
      <alignment horizontal="center"/>
    </xf>
    <xf numFmtId="169" fontId="0" fillId="0" borderId="29" xfId="0" applyNumberForma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16" fillId="0" borderId="20" xfId="0" applyFont="1" applyFill="1" applyBorder="1" applyAlignment="1">
      <alignment horizontal="right"/>
    </xf>
    <xf numFmtId="167" fontId="0" fillId="19" borderId="28" xfId="2" applyNumberFormat="1" applyFont="1" applyFill="1" applyBorder="1" applyAlignment="1">
      <alignment horizontal="right"/>
    </xf>
    <xf numFmtId="167" fontId="33" fillId="24" borderId="28" xfId="2" applyNumberFormat="1" applyFont="1" applyFill="1" applyBorder="1" applyAlignment="1">
      <alignment horizontal="right"/>
    </xf>
    <xf numFmtId="167" fontId="16" fillId="0" borderId="28" xfId="2" applyNumberFormat="1" applyFont="1" applyBorder="1" applyAlignment="1">
      <alignment horizontal="right"/>
    </xf>
    <xf numFmtId="167" fontId="0" fillId="20" borderId="28" xfId="2" applyNumberFormat="1" applyFont="1" applyFill="1" applyBorder="1" applyAlignment="1">
      <alignment horizontal="right"/>
    </xf>
    <xf numFmtId="167" fontId="0" fillId="0" borderId="28" xfId="2" applyNumberFormat="1" applyFont="1" applyBorder="1" applyAlignment="1">
      <alignment horizontal="right"/>
    </xf>
    <xf numFmtId="0" fontId="2" fillId="0" borderId="29" xfId="0" applyFont="1" applyFill="1" applyBorder="1"/>
    <xf numFmtId="3" fontId="2" fillId="0" borderId="46" xfId="0" applyNumberFormat="1" applyFont="1" applyFill="1" applyBorder="1" applyAlignment="1">
      <alignment horizontal="right"/>
    </xf>
    <xf numFmtId="9" fontId="2" fillId="0" borderId="46" xfId="2" applyFont="1" applyFill="1" applyBorder="1" applyAlignment="1">
      <alignment horizontal="right"/>
    </xf>
    <xf numFmtId="167" fontId="2" fillId="0" borderId="46" xfId="2" applyNumberFormat="1" applyFont="1" applyFill="1" applyBorder="1" applyAlignment="1">
      <alignment horizontal="right"/>
    </xf>
    <xf numFmtId="167" fontId="2" fillId="0" borderId="31" xfId="2" applyNumberFormat="1" applyFont="1" applyBorder="1" applyAlignment="1">
      <alignment horizontal="right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right"/>
    </xf>
    <xf numFmtId="3" fontId="0" fillId="20" borderId="5" xfId="0" applyNumberFormat="1" applyFill="1" applyBorder="1" applyAlignment="1">
      <alignment horizontal="right"/>
    </xf>
    <xf numFmtId="3" fontId="1" fillId="21" borderId="5" xfId="0" applyNumberFormat="1" applyFont="1" applyFill="1" applyBorder="1" applyAlignment="1">
      <alignment horizontal="right"/>
    </xf>
    <xf numFmtId="0" fontId="14" fillId="0" borderId="20" xfId="0" applyFont="1" applyBorder="1"/>
    <xf numFmtId="0" fontId="1" fillId="0" borderId="0" xfId="0" applyFont="1" applyBorder="1"/>
    <xf numFmtId="3" fontId="0" fillId="0" borderId="51" xfId="0" applyNumberFormat="1" applyBorder="1" applyAlignment="1">
      <alignment horizontal="right"/>
    </xf>
    <xf numFmtId="166" fontId="0" fillId="0" borderId="37" xfId="2" applyNumberFormat="1" applyFont="1" applyBorder="1" applyAlignment="1">
      <alignment horizontal="right"/>
    </xf>
    <xf numFmtId="167" fontId="0" fillId="0" borderId="37" xfId="2" applyNumberFormat="1" applyFont="1" applyBorder="1" applyAlignment="1">
      <alignment horizontal="right"/>
    </xf>
    <xf numFmtId="166" fontId="0" fillId="0" borderId="50" xfId="2" applyNumberFormat="1" applyFont="1" applyBorder="1" applyAlignment="1">
      <alignment horizontal="right"/>
    </xf>
    <xf numFmtId="166" fontId="0" fillId="0" borderId="28" xfId="2" applyNumberFormat="1" applyFont="1" applyBorder="1" applyAlignment="1">
      <alignment horizontal="right"/>
    </xf>
    <xf numFmtId="3" fontId="2" fillId="0" borderId="45" xfId="0" applyNumberFormat="1" applyFont="1" applyBorder="1" applyAlignment="1">
      <alignment horizontal="right"/>
    </xf>
    <xf numFmtId="9" fontId="2" fillId="0" borderId="46" xfId="2" applyFont="1" applyBorder="1" applyAlignment="1">
      <alignment horizontal="right"/>
    </xf>
    <xf numFmtId="167" fontId="2" fillId="0" borderId="46" xfId="2" applyNumberFormat="1" applyFont="1" applyBorder="1" applyAlignment="1">
      <alignment horizontal="right"/>
    </xf>
    <xf numFmtId="166" fontId="2" fillId="0" borderId="31" xfId="2" applyNumberFormat="1" applyFont="1" applyBorder="1" applyAlignment="1">
      <alignment horizontal="right"/>
    </xf>
    <xf numFmtId="0" fontId="0" fillId="0" borderId="51" xfId="0" applyBorder="1"/>
    <xf numFmtId="0" fontId="0" fillId="0" borderId="5" xfId="0" applyBorder="1"/>
    <xf numFmtId="0" fontId="2" fillId="0" borderId="45" xfId="0" applyFont="1" applyBorder="1"/>
    <xf numFmtId="166" fontId="8" fillId="22" borderId="0" xfId="2" applyNumberFormat="1" applyFont="1" applyFill="1" applyBorder="1"/>
    <xf numFmtId="0" fontId="7" fillId="0" borderId="0" xfId="0" applyFont="1" applyFill="1" applyAlignment="1">
      <alignment horizontal="right"/>
    </xf>
    <xf numFmtId="3" fontId="38" fillId="0" borderId="0" xfId="0" applyNumberFormat="1" applyFont="1" applyFill="1"/>
    <xf numFmtId="0" fontId="39" fillId="0" borderId="20" xfId="0" applyFont="1" applyFill="1" applyBorder="1"/>
    <xf numFmtId="0" fontId="40" fillId="0" borderId="20" xfId="0" applyFont="1" applyFill="1" applyBorder="1"/>
    <xf numFmtId="0" fontId="40" fillId="0" borderId="20" xfId="0" applyFont="1" applyFill="1" applyBorder="1" applyAlignment="1">
      <alignment horizontal="left"/>
    </xf>
    <xf numFmtId="0" fontId="41" fillId="0" borderId="20" xfId="0" applyFont="1" applyFill="1" applyBorder="1"/>
    <xf numFmtId="3" fontId="42" fillId="0" borderId="0" xfId="0" applyNumberFormat="1" applyFont="1" applyFill="1"/>
    <xf numFmtId="0" fontId="41" fillId="0" borderId="20" xfId="1" applyFont="1" applyFill="1" applyBorder="1" applyAlignment="1" applyProtection="1"/>
    <xf numFmtId="0" fontId="41" fillId="0" borderId="20" xfId="1" applyFont="1" applyFill="1" applyBorder="1" applyAlignment="1" applyProtection="1">
      <alignment horizontal="left"/>
    </xf>
    <xf numFmtId="0" fontId="20" fillId="0" borderId="20" xfId="0" applyFont="1" applyFill="1" applyBorder="1"/>
    <xf numFmtId="3" fontId="20" fillId="0" borderId="0" xfId="0" applyNumberFormat="1" applyFont="1"/>
    <xf numFmtId="3" fontId="39" fillId="0" borderId="0" xfId="0" applyNumberFormat="1" applyFont="1"/>
    <xf numFmtId="0" fontId="43" fillId="0" borderId="0" xfId="0" applyFont="1"/>
    <xf numFmtId="0" fontId="44" fillId="0" borderId="0" xfId="0" applyFont="1"/>
    <xf numFmtId="3" fontId="45" fillId="0" borderId="0" xfId="0" applyNumberFormat="1" applyFont="1" applyBorder="1" applyAlignment="1">
      <alignment horizontal="center"/>
    </xf>
    <xf numFmtId="166" fontId="46" fillId="0" borderId="0" xfId="0" applyNumberFormat="1" applyFont="1" applyBorder="1" applyAlignment="1">
      <alignment horizontal="center"/>
    </xf>
    <xf numFmtId="165" fontId="1" fillId="0" borderId="0" xfId="2" applyNumberFormat="1" applyFill="1"/>
    <xf numFmtId="169" fontId="1" fillId="0" borderId="0" xfId="2" applyNumberFormat="1" applyFill="1"/>
    <xf numFmtId="2" fontId="1" fillId="0" borderId="0" xfId="2" applyNumberFormat="1" applyFill="1"/>
    <xf numFmtId="166" fontId="1" fillId="0" borderId="0" xfId="2" applyNumberFormat="1" applyFont="1" applyAlignment="1"/>
    <xf numFmtId="166" fontId="0" fillId="0" borderId="0" xfId="0" applyNumberFormat="1" applyBorder="1" applyAlignment="1">
      <alignment horizontal="left"/>
    </xf>
    <xf numFmtId="4" fontId="47" fillId="0" borderId="5" xfId="0" applyNumberFormat="1" applyFont="1" applyBorder="1" applyAlignment="1">
      <alignment horizontal="center"/>
    </xf>
    <xf numFmtId="166" fontId="0" fillId="20" borderId="0" xfId="2" applyNumberFormat="1" applyFont="1" applyFill="1" applyBorder="1" applyAlignment="1">
      <alignment horizontal="right"/>
    </xf>
    <xf numFmtId="0" fontId="47" fillId="0" borderId="46" xfId="0" applyFont="1" applyBorder="1" applyAlignment="1">
      <alignment horizontal="left"/>
    </xf>
    <xf numFmtId="3" fontId="32" fillId="22" borderId="8" xfId="0" applyNumberFormat="1" applyFont="1" applyFill="1" applyBorder="1"/>
    <xf numFmtId="3" fontId="48" fillId="22" borderId="8" xfId="0" applyNumberFormat="1" applyFont="1" applyFill="1" applyBorder="1"/>
    <xf numFmtId="0" fontId="0" fillId="0" borderId="0" xfId="0" applyBorder="1" applyAlignment="1">
      <alignment horizontal="right"/>
    </xf>
    <xf numFmtId="3" fontId="37" fillId="22" borderId="8" xfId="0" applyNumberFormat="1" applyFont="1" applyFill="1" applyBorder="1"/>
    <xf numFmtId="166" fontId="37" fillId="22" borderId="8" xfId="2" applyNumberFormat="1" applyFont="1" applyFill="1" applyBorder="1"/>
    <xf numFmtId="3" fontId="37" fillId="22" borderId="38" xfId="0" applyNumberFormat="1" applyFont="1" applyFill="1" applyBorder="1"/>
    <xf numFmtId="170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46" xfId="0" applyFill="1" applyBorder="1"/>
    <xf numFmtId="0" fontId="1" fillId="13" borderId="0" xfId="0" applyFont="1" applyFill="1"/>
    <xf numFmtId="0" fontId="2" fillId="27" borderId="0" xfId="0" applyFont="1" applyFill="1" applyAlignment="1">
      <alignment horizontal="center"/>
    </xf>
    <xf numFmtId="0" fontId="0" fillId="27" borderId="0" xfId="0" applyFill="1" applyAlignment="1">
      <alignment horizontal="center"/>
    </xf>
    <xf numFmtId="0" fontId="1" fillId="27" borderId="0" xfId="0" applyFont="1" applyFill="1" applyAlignment="1">
      <alignment horizontal="center"/>
    </xf>
    <xf numFmtId="0" fontId="4" fillId="27" borderId="0" xfId="0" applyFont="1" applyFill="1" applyAlignment="1">
      <alignment horizontal="center"/>
    </xf>
    <xf numFmtId="0" fontId="49" fillId="28" borderId="0" xfId="0" applyFont="1" applyFill="1" applyAlignment="1">
      <alignment horizontal="center"/>
    </xf>
    <xf numFmtId="3" fontId="33" fillId="28" borderId="0" xfId="0" applyNumberFormat="1" applyFont="1" applyFill="1"/>
    <xf numFmtId="168" fontId="33" fillId="28" borderId="0" xfId="3" applyNumberFormat="1" applyFont="1" applyFill="1"/>
    <xf numFmtId="166" fontId="0" fillId="27" borderId="0" xfId="2" applyNumberFormat="1" applyFont="1" applyFill="1"/>
    <xf numFmtId="0" fontId="0" fillId="14" borderId="24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0" fontId="0" fillId="14" borderId="20" xfId="0" applyFill="1" applyBorder="1"/>
    <xf numFmtId="0" fontId="0" fillId="14" borderId="27" xfId="0" applyFill="1" applyBorder="1"/>
    <xf numFmtId="0" fontId="0" fillId="14" borderId="29" xfId="0" applyFill="1" applyBorder="1"/>
    <xf numFmtId="0" fontId="0" fillId="14" borderId="29" xfId="0" applyFill="1" applyBorder="1" applyAlignment="1">
      <alignment horizontal="center"/>
    </xf>
    <xf numFmtId="0" fontId="0" fillId="14" borderId="30" xfId="0" applyFill="1" applyBorder="1"/>
    <xf numFmtId="0" fontId="0" fillId="14" borderId="26" xfId="0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1" fillId="14" borderId="20" xfId="0" applyFont="1" applyFill="1" applyBorder="1" applyAlignment="1">
      <alignment horizontal="center"/>
    </xf>
    <xf numFmtId="0" fontId="0" fillId="14" borderId="31" xfId="0" applyFill="1" applyBorder="1"/>
    <xf numFmtId="0" fontId="1" fillId="29" borderId="0" xfId="0" applyFont="1" applyFill="1" applyAlignment="1">
      <alignment horizontal="center"/>
    </xf>
    <xf numFmtId="0" fontId="33" fillId="28" borderId="0" xfId="0" applyFont="1" applyFill="1" applyAlignment="1">
      <alignment horizontal="center"/>
    </xf>
    <xf numFmtId="0" fontId="33" fillId="30" borderId="0" xfId="0" applyFont="1" applyFill="1" applyAlignment="1">
      <alignment horizontal="center"/>
    </xf>
    <xf numFmtId="3" fontId="33" fillId="30" borderId="0" xfId="2" applyNumberFormat="1" applyFont="1" applyFill="1"/>
    <xf numFmtId="3" fontId="33" fillId="30" borderId="0" xfId="0" applyNumberFormat="1" applyFont="1" applyFill="1"/>
    <xf numFmtId="166" fontId="33" fillId="30" borderId="0" xfId="2" applyNumberFormat="1" applyFont="1" applyFill="1"/>
    <xf numFmtId="9" fontId="33" fillId="30" borderId="0" xfId="2" applyNumberFormat="1" applyFont="1" applyFill="1"/>
    <xf numFmtId="166" fontId="33" fillId="30" borderId="0" xfId="2" applyNumberFormat="1" applyFont="1" applyFill="1" applyAlignment="1"/>
    <xf numFmtId="166" fontId="1" fillId="29" borderId="0" xfId="2" applyNumberFormat="1" applyFill="1"/>
    <xf numFmtId="9" fontId="1" fillId="29" borderId="0" xfId="2" applyNumberFormat="1" applyFill="1"/>
    <xf numFmtId="166" fontId="1" fillId="29" borderId="0" xfId="2" applyNumberFormat="1" applyFill="1" applyAlignment="1"/>
    <xf numFmtId="166" fontId="33" fillId="28" borderId="0" xfId="2" applyNumberFormat="1" applyFont="1" applyFill="1"/>
    <xf numFmtId="0" fontId="33" fillId="31" borderId="0" xfId="0" applyFont="1" applyFill="1" applyAlignment="1">
      <alignment horizontal="center"/>
    </xf>
    <xf numFmtId="166" fontId="33" fillId="31" borderId="0" xfId="2" applyNumberFormat="1" applyFont="1" applyFill="1"/>
    <xf numFmtId="3" fontId="0" fillId="29" borderId="0" xfId="0" applyNumberFormat="1" applyFill="1"/>
    <xf numFmtId="165" fontId="1" fillId="29" borderId="0" xfId="2" applyNumberFormat="1" applyFill="1"/>
    <xf numFmtId="169" fontId="1" fillId="26" borderId="0" xfId="2" applyNumberFormat="1" applyFill="1"/>
    <xf numFmtId="166" fontId="33" fillId="32" borderId="0" xfId="2" applyNumberFormat="1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166" fontId="49" fillId="32" borderId="0" xfId="2" applyNumberFormat="1" applyFont="1" applyFill="1" applyBorder="1" applyAlignment="1">
      <alignment horizontal="center" vertical="center"/>
    </xf>
    <xf numFmtId="0" fontId="33" fillId="32" borderId="0" xfId="0" applyFont="1" applyFill="1" applyAlignment="1">
      <alignment horizontal="left"/>
    </xf>
    <xf numFmtId="166" fontId="33" fillId="32" borderId="0" xfId="2" applyNumberFormat="1" applyFont="1" applyFill="1"/>
    <xf numFmtId="0" fontId="51" fillId="32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168" fontId="30" fillId="29" borderId="0" xfId="3" applyNumberFormat="1" applyFont="1" applyFill="1"/>
    <xf numFmtId="166" fontId="0" fillId="29" borderId="0" xfId="2" applyNumberFormat="1" applyFont="1" applyFill="1"/>
    <xf numFmtId="3" fontId="0" fillId="29" borderId="0" xfId="0" applyNumberFormat="1" applyFill="1" applyBorder="1"/>
    <xf numFmtId="165" fontId="0" fillId="29" borderId="0" xfId="2" applyNumberFormat="1" applyFont="1" applyFill="1"/>
    <xf numFmtId="2" fontId="0" fillId="29" borderId="0" xfId="2" applyNumberFormat="1" applyFont="1" applyFill="1"/>
    <xf numFmtId="0" fontId="0" fillId="29" borderId="0" xfId="0" applyFill="1" applyAlignment="1">
      <alignment horizontal="center"/>
    </xf>
    <xf numFmtId="9" fontId="33" fillId="28" borderId="0" xfId="0" applyNumberFormat="1" applyFont="1" applyFill="1"/>
    <xf numFmtId="9" fontId="0" fillId="29" borderId="0" xfId="0" applyNumberFormat="1" applyFill="1"/>
    <xf numFmtId="166" fontId="33" fillId="30" borderId="0" xfId="0" applyNumberFormat="1" applyFont="1" applyFill="1"/>
    <xf numFmtId="166" fontId="33" fillId="28" borderId="0" xfId="0" applyNumberFormat="1" applyFont="1" applyFill="1"/>
    <xf numFmtId="166" fontId="0" fillId="14" borderId="0" xfId="0" applyNumberFormat="1" applyFill="1"/>
    <xf numFmtId="166" fontId="0" fillId="29" borderId="0" xfId="0" applyNumberFormat="1" applyFill="1"/>
    <xf numFmtId="166" fontId="0" fillId="27" borderId="0" xfId="0" applyNumberFormat="1" applyFill="1"/>
    <xf numFmtId="166" fontId="33" fillId="32" borderId="0" xfId="0" applyNumberFormat="1" applyFont="1" applyFill="1"/>
    <xf numFmtId="166" fontId="33" fillId="0" borderId="0" xfId="0" applyNumberFormat="1" applyFont="1" applyFill="1"/>
    <xf numFmtId="3" fontId="50" fillId="0" borderId="0" xfId="0" applyNumberFormat="1" applyFont="1"/>
    <xf numFmtId="0" fontId="50" fillId="27" borderId="0" xfId="0" applyFont="1" applyFill="1" applyAlignment="1">
      <alignment horizontal="center"/>
    </xf>
    <xf numFmtId="0" fontId="0" fillId="14" borderId="45" xfId="0" applyFill="1" applyBorder="1" applyAlignment="1">
      <alignment horizontal="center" vertical="center" wrapText="1"/>
    </xf>
    <xf numFmtId="0" fontId="0" fillId="14" borderId="46" xfId="0" applyFill="1" applyBorder="1" applyAlignment="1">
      <alignment horizontal="center" vertical="center" wrapText="1"/>
    </xf>
    <xf numFmtId="0" fontId="1" fillId="14" borderId="46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0" fontId="0" fillId="14" borderId="19" xfId="0" applyFill="1" applyBorder="1"/>
    <xf numFmtId="0" fontId="16" fillId="14" borderId="20" xfId="0" applyFont="1" applyFill="1" applyBorder="1" applyAlignment="1">
      <alignment horizontal="right"/>
    </xf>
    <xf numFmtId="0" fontId="2" fillId="14" borderId="29" xfId="0" applyFont="1" applyFill="1" applyBorder="1"/>
    <xf numFmtId="0" fontId="0" fillId="14" borderId="51" xfId="0" applyFill="1" applyBorder="1"/>
    <xf numFmtId="0" fontId="0" fillId="14" borderId="5" xfId="0" applyFill="1" applyBorder="1"/>
    <xf numFmtId="0" fontId="2" fillId="14" borderId="45" xfId="0" applyFont="1" applyFill="1" applyBorder="1"/>
    <xf numFmtId="3" fontId="53" fillId="0" borderId="0" xfId="0" applyNumberFormat="1" applyFont="1" applyBorder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166" fontId="0" fillId="33" borderId="0" xfId="2" applyNumberFormat="1" applyFont="1" applyFill="1" applyBorder="1" applyAlignment="1">
      <alignment horizontal="left"/>
    </xf>
    <xf numFmtId="0" fontId="31" fillId="0" borderId="0" xfId="0" applyFont="1" applyFill="1" applyAlignment="1">
      <alignment horizontal="right"/>
    </xf>
    <xf numFmtId="3" fontId="32" fillId="0" borderId="4" xfId="0" applyNumberFormat="1" applyFont="1" applyFill="1" applyBorder="1"/>
    <xf numFmtId="3" fontId="56" fillId="0" borderId="8" xfId="0" applyNumberFormat="1" applyFont="1" applyFill="1" applyBorder="1"/>
    <xf numFmtId="3" fontId="57" fillId="0" borderId="8" xfId="0" applyNumberFormat="1" applyFont="1" applyFill="1" applyBorder="1"/>
    <xf numFmtId="0" fontId="7" fillId="16" borderId="47" xfId="0" applyFont="1" applyFill="1" applyBorder="1" applyAlignment="1">
      <alignment horizontal="center"/>
    </xf>
    <xf numFmtId="0" fontId="58" fillId="22" borderId="47" xfId="0" applyFont="1" applyFill="1" applyBorder="1" applyAlignment="1">
      <alignment horizontal="center"/>
    </xf>
    <xf numFmtId="2" fontId="59" fillId="0" borderId="0" xfId="2" applyNumberFormat="1" applyFont="1"/>
    <xf numFmtId="2" fontId="59" fillId="29" borderId="0" xfId="2" applyNumberFormat="1" applyFont="1" applyFill="1"/>
    <xf numFmtId="2" fontId="60" fillId="0" borderId="0" xfId="2" applyNumberFormat="1" applyFont="1"/>
    <xf numFmtId="2" fontId="60" fillId="29" borderId="0" xfId="2" applyNumberFormat="1" applyFont="1" applyFill="1"/>
    <xf numFmtId="0" fontId="0" fillId="27" borderId="52" xfId="0" applyFill="1" applyBorder="1" applyAlignment="1">
      <alignment horizontal="center"/>
    </xf>
    <xf numFmtId="166" fontId="0" fillId="0" borderId="53" xfId="0" applyNumberFormat="1" applyBorder="1"/>
    <xf numFmtId="166" fontId="0" fillId="27" borderId="53" xfId="0" applyNumberFormat="1" applyFill="1" applyBorder="1"/>
    <xf numFmtId="166" fontId="0" fillId="29" borderId="53" xfId="0" applyNumberFormat="1" applyFill="1" applyBorder="1"/>
    <xf numFmtId="166" fontId="33" fillId="28" borderId="53" xfId="0" applyNumberFormat="1" applyFont="1" applyFill="1" applyBorder="1"/>
    <xf numFmtId="166" fontId="33" fillId="30" borderId="54" xfId="0" applyNumberFormat="1" applyFont="1" applyFill="1" applyBorder="1"/>
    <xf numFmtId="2" fontId="1" fillId="29" borderId="0" xfId="2" applyNumberFormat="1" applyFill="1"/>
    <xf numFmtId="4" fontId="1" fillId="29" borderId="0" xfId="2" applyNumberFormat="1" applyFill="1"/>
    <xf numFmtId="171" fontId="1" fillId="0" borderId="0" xfId="2" applyNumberFormat="1" applyFill="1"/>
    <xf numFmtId="3" fontId="7" fillId="19" borderId="0" xfId="0" applyNumberFormat="1" applyFont="1" applyFill="1"/>
    <xf numFmtId="3" fontId="50" fillId="27" borderId="0" xfId="0" applyNumberFormat="1" applyFont="1" applyFill="1" applyBorder="1"/>
    <xf numFmtId="3" fontId="50" fillId="27" borderId="0" xfId="0" applyNumberFormat="1" applyFont="1" applyFill="1"/>
    <xf numFmtId="0" fontId="50" fillId="0" borderId="0" xfId="0" applyFont="1"/>
    <xf numFmtId="0" fontId="50" fillId="0" borderId="0" xfId="0" applyFont="1" applyFill="1"/>
    <xf numFmtId="3" fontId="50" fillId="27" borderId="0" xfId="2" applyNumberFormat="1" applyFont="1" applyFill="1"/>
    <xf numFmtId="4" fontId="50" fillId="0" borderId="0" xfId="0" applyNumberFormat="1" applyFont="1"/>
    <xf numFmtId="4" fontId="50" fillId="27" borderId="0" xfId="0" applyNumberFormat="1" applyFont="1" applyFill="1"/>
    <xf numFmtId="0" fontId="0" fillId="0" borderId="55" xfId="0" applyBorder="1"/>
    <xf numFmtId="0" fontId="0" fillId="0" borderId="56" xfId="0" applyBorder="1"/>
    <xf numFmtId="17" fontId="61" fillId="0" borderId="57" xfId="0" quotePrefix="1" applyNumberFormat="1" applyFont="1" applyBorder="1" applyAlignment="1">
      <alignment horizontal="right"/>
    </xf>
    <xf numFmtId="0" fontId="0" fillId="0" borderId="58" xfId="0" applyBorder="1"/>
    <xf numFmtId="0" fontId="0" fillId="0" borderId="59" xfId="0" applyBorder="1"/>
    <xf numFmtId="0" fontId="1" fillId="0" borderId="59" xfId="0" applyFont="1" applyBorder="1"/>
    <xf numFmtId="0" fontId="64" fillId="0" borderId="58" xfId="0" applyFont="1" applyBorder="1" applyAlignment="1">
      <alignment vertical="center"/>
    </xf>
    <xf numFmtId="0" fontId="67" fillId="0" borderId="58" xfId="1" applyFont="1" applyBorder="1" applyAlignment="1" applyProtection="1">
      <alignment vertical="center"/>
    </xf>
    <xf numFmtId="0" fontId="68" fillId="0" borderId="58" xfId="0" applyFont="1" applyBorder="1" applyAlignment="1">
      <alignment vertical="center"/>
    </xf>
    <xf numFmtId="0" fontId="5" fillId="0" borderId="58" xfId="1" applyBorder="1" applyAlignment="1" applyProtection="1">
      <alignment vertical="center"/>
    </xf>
    <xf numFmtId="0" fontId="1" fillId="0" borderId="58" xfId="1" applyFont="1" applyBorder="1" applyAlignment="1" applyProtection="1">
      <alignment vertical="center"/>
    </xf>
    <xf numFmtId="0" fontId="1" fillId="0" borderId="58" xfId="0" applyFont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62" fillId="0" borderId="5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59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59" xfId="0" applyFont="1" applyBorder="1" applyAlignment="1">
      <alignment horizontal="center"/>
    </xf>
    <xf numFmtId="0" fontId="2" fillId="29" borderId="24" xfId="0" applyFont="1" applyFill="1" applyBorder="1" applyAlignment="1">
      <alignment horizontal="center"/>
    </xf>
    <xf numFmtId="0" fontId="2" fillId="29" borderId="25" xfId="0" applyFont="1" applyFill="1" applyBorder="1" applyAlignment="1">
      <alignment horizontal="center"/>
    </xf>
    <xf numFmtId="0" fontId="2" fillId="29" borderId="26" xfId="0" applyFont="1" applyFill="1" applyBorder="1" applyAlignment="1">
      <alignment horizontal="center"/>
    </xf>
    <xf numFmtId="0" fontId="49" fillId="28" borderId="24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9" fontId="50" fillId="0" borderId="0" xfId="2" applyFont="1" applyFill="1" applyBorder="1" applyAlignment="1">
      <alignment horizontal="center"/>
    </xf>
    <xf numFmtId="10" fontId="22" fillId="0" borderId="0" xfId="2" applyNumberFormat="1" applyFont="1" applyFill="1" applyAlignment="1">
      <alignment horizontal="center"/>
    </xf>
    <xf numFmtId="0" fontId="52" fillId="0" borderId="19" xfId="0" applyFont="1" applyBorder="1" applyAlignment="1">
      <alignment horizontal="center" vertical="center"/>
    </xf>
    <xf numFmtId="0" fontId="52" fillId="0" borderId="20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0" fillId="27" borderId="19" xfId="0" applyFill="1" applyBorder="1" applyAlignment="1">
      <alignment horizontal="center" vertical="center"/>
    </xf>
    <xf numFmtId="0" fontId="0" fillId="27" borderId="29" xfId="0" applyFill="1" applyBorder="1" applyAlignment="1">
      <alignment horizontal="center" vertical="center"/>
    </xf>
    <xf numFmtId="0" fontId="0" fillId="27" borderId="51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50" xfId="0" applyFill="1" applyBorder="1" applyAlignment="1">
      <alignment horizontal="center"/>
    </xf>
    <xf numFmtId="0" fontId="1" fillId="15" borderId="0" xfId="0" applyFont="1" applyFill="1" applyBorder="1" applyAlignment="1">
      <alignment horizontal="right"/>
    </xf>
    <xf numFmtId="0" fontId="0" fillId="15" borderId="0" xfId="0" applyFill="1" applyBorder="1" applyAlignment="1">
      <alignment horizontal="right"/>
    </xf>
    <xf numFmtId="0" fontId="1" fillId="0" borderId="46" xfId="0" applyFont="1" applyBorder="1" applyAlignment="1">
      <alignment horizont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19" fillId="9" borderId="0" xfId="0" applyFont="1" applyFill="1" applyAlignment="1">
      <alignment horizontal="left" vertical="center" wrapText="1"/>
    </xf>
    <xf numFmtId="0" fontId="0" fillId="6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15" borderId="5" xfId="0" applyFont="1" applyFill="1" applyBorder="1" applyAlignment="1">
      <alignment horizontal="right"/>
    </xf>
    <xf numFmtId="0" fontId="0" fillId="15" borderId="0" xfId="0" applyFill="1" applyAlignment="1">
      <alignment horizontal="right"/>
    </xf>
    <xf numFmtId="0" fontId="0" fillId="23" borderId="34" xfId="0" applyFill="1" applyBorder="1" applyAlignment="1">
      <alignment horizontal="center"/>
    </xf>
    <xf numFmtId="0" fontId="0" fillId="23" borderId="22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23" borderId="19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1" fillId="33" borderId="0" xfId="0" applyFont="1" applyFill="1" applyBorder="1" applyAlignment="1">
      <alignment horizontal="right"/>
    </xf>
    <xf numFmtId="0" fontId="0" fillId="33" borderId="0" xfId="0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0" fillId="0" borderId="46" xfId="0" applyBorder="1" applyAlignment="1"/>
  </cellXfs>
  <cellStyles count="4">
    <cellStyle name="Lien hypertexte" xfId="1" builtinId="8"/>
    <cellStyle name="Milliers" xfId="3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99FF"/>
      <color rgb="FF9966FF"/>
      <color rgb="FFFFFF66"/>
      <color rgb="FF9900FF"/>
      <color rgb="FFCCFFCC"/>
      <color rgb="FFFF3300"/>
      <color rgb="FF99FFCC"/>
      <color rgb="FFFFFF99"/>
      <color rgb="FF6666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8" Type="http://schemas.openxmlformats.org/officeDocument/2006/relationships/chartsheet" Target="chartsheets/sheet7.xml"/><Relationship Id="rId26" Type="http://schemas.openxmlformats.org/officeDocument/2006/relationships/worksheet" Target="worksheets/sheet1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4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hartsheet" Target="chartsheets/sheet6.xml"/><Relationship Id="rId25" Type="http://schemas.openxmlformats.org/officeDocument/2006/relationships/chartsheet" Target="chartsheets/sheet10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worksheet" Target="worksheets/sheet13.xml"/><Relationship Id="rId29" Type="http://schemas.openxmlformats.org/officeDocument/2006/relationships/chartsheet" Target="chartsheets/sheet1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15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4.xml"/><Relationship Id="rId23" Type="http://schemas.openxmlformats.org/officeDocument/2006/relationships/chartsheet" Target="chartsheets/sheet9.xml"/><Relationship Id="rId28" Type="http://schemas.openxmlformats.org/officeDocument/2006/relationships/worksheet" Target="worksheets/sheet17.xml"/><Relationship Id="rId36" Type="http://schemas.openxmlformats.org/officeDocument/2006/relationships/externalLink" Target="externalLinks/externalLink5.xml"/><Relationship Id="rId10" Type="http://schemas.openxmlformats.org/officeDocument/2006/relationships/chartsheet" Target="chartsheets/sheet1.xml"/><Relationship Id="rId19" Type="http://schemas.openxmlformats.org/officeDocument/2006/relationships/worksheet" Target="worksheets/sheet12.xml"/><Relationship Id="rId31" Type="http://schemas.openxmlformats.org/officeDocument/2006/relationships/chartsheet" Target="chartsheets/sheet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chartsheet" Target="chartsheets/sheet8.xml"/><Relationship Id="rId27" Type="http://schemas.openxmlformats.org/officeDocument/2006/relationships/chartsheet" Target="chartsheets/sheet11.xml"/><Relationship Id="rId30" Type="http://schemas.openxmlformats.org/officeDocument/2006/relationships/chartsheet" Target="chartsheets/sheet13.xml"/><Relationship Id="rId35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2480314960636E-2"/>
          <c:y val="3.1983378110793999E-2"/>
          <c:w val="0.89891196412948382"/>
          <c:h val="0.83721239390530733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'DonnéesGraph ok'!$A$23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ok'!$B$20:$Y$20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ok'!$B$23:$Y$23</c:f>
              <c:numCache>
                <c:formatCode>0%</c:formatCode>
                <c:ptCount val="24"/>
                <c:pt idx="0">
                  <c:v>0.67243589022089467</c:v>
                </c:pt>
                <c:pt idx="1">
                  <c:v>0.67571832762828699</c:v>
                </c:pt>
                <c:pt idx="2">
                  <c:v>0.68397487753219699</c:v>
                </c:pt>
                <c:pt idx="3">
                  <c:v>0.71662153660145589</c:v>
                </c:pt>
                <c:pt idx="4">
                  <c:v>0.7153328004991184</c:v>
                </c:pt>
                <c:pt idx="5">
                  <c:v>0.71468989579039466</c:v>
                </c:pt>
                <c:pt idx="6">
                  <c:v>0.71504513912836798</c:v>
                </c:pt>
                <c:pt idx="7">
                  <c:v>0.71573893122909682</c:v>
                </c:pt>
                <c:pt idx="8">
                  <c:v>0.72168852798295191</c:v>
                </c:pt>
                <c:pt idx="9">
                  <c:v>0.72308882917846717</c:v>
                </c:pt>
                <c:pt idx="10">
                  <c:v>0.72374866574266239</c:v>
                </c:pt>
                <c:pt idx="11">
                  <c:v>0.72074780485270562</c:v>
                </c:pt>
                <c:pt idx="12">
                  <c:v>0.7225196252632532</c:v>
                </c:pt>
                <c:pt idx="13">
                  <c:v>0.7224019709768551</c:v>
                </c:pt>
                <c:pt idx="14">
                  <c:v>0.72341425105697243</c:v>
                </c:pt>
                <c:pt idx="15">
                  <c:v>0.7304953118094677</c:v>
                </c:pt>
                <c:pt idx="16">
                  <c:v>0.72637405787020115</c:v>
                </c:pt>
                <c:pt idx="17">
                  <c:v>0.72615742043934739</c:v>
                </c:pt>
                <c:pt idx="18">
                  <c:v>0.72390885174723041</c:v>
                </c:pt>
                <c:pt idx="19">
                  <c:v>0.72482839965336843</c:v>
                </c:pt>
                <c:pt idx="20">
                  <c:v>0.72064902811159837</c:v>
                </c:pt>
                <c:pt idx="21">
                  <c:v>0.72477581077831721</c:v>
                </c:pt>
                <c:pt idx="22">
                  <c:v>0.72230284070571216</c:v>
                </c:pt>
                <c:pt idx="23">
                  <c:v>0.72287741915558701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4-46A7-82C3-3E6202565D36}"/>
            </c:ext>
          </c:extLst>
        </c:ser>
        <c:ser>
          <c:idx val="1"/>
          <c:order val="1"/>
          <c:tx>
            <c:strRef>
              <c:f>'DonnéesGraph ok'!$A$21</c:f>
              <c:strCache>
                <c:ptCount val="1"/>
                <c:pt idx="0">
                  <c:v>Régime des 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ok'!$B$20:$Y$20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ok'!$B$21:$Y$21</c:f>
              <c:numCache>
                <c:formatCode>0%</c:formatCode>
                <c:ptCount val="24"/>
                <c:pt idx="0">
                  <c:v>2.8771910629298375E-2</c:v>
                </c:pt>
                <c:pt idx="1">
                  <c:v>2.8937073134416496E-2</c:v>
                </c:pt>
                <c:pt idx="2">
                  <c:v>2.813251034107626E-2</c:v>
                </c:pt>
                <c:pt idx="3">
                  <c:v>2.7180291401814764E-2</c:v>
                </c:pt>
                <c:pt idx="4">
                  <c:v>2.6329314189817397E-2</c:v>
                </c:pt>
                <c:pt idx="5">
                  <c:v>2.6107853876511107E-2</c:v>
                </c:pt>
                <c:pt idx="6">
                  <c:v>2.5898967495953672E-2</c:v>
                </c:pt>
                <c:pt idx="7">
                  <c:v>2.5666428156587363E-2</c:v>
                </c:pt>
                <c:pt idx="8">
                  <c:v>2.5078821224737438E-2</c:v>
                </c:pt>
                <c:pt idx="9">
                  <c:v>2.5125471928103351E-2</c:v>
                </c:pt>
                <c:pt idx="10">
                  <c:v>2.4569259079914429E-2</c:v>
                </c:pt>
                <c:pt idx="11">
                  <c:v>2.3471407304739421E-2</c:v>
                </c:pt>
                <c:pt idx="12">
                  <c:v>2.3434042176742925E-2</c:v>
                </c:pt>
                <c:pt idx="13">
                  <c:v>2.3635547437303842E-2</c:v>
                </c:pt>
                <c:pt idx="14">
                  <c:v>2.4355780019955215E-2</c:v>
                </c:pt>
                <c:pt idx="15">
                  <c:v>2.4081116009338457E-2</c:v>
                </c:pt>
                <c:pt idx="16">
                  <c:v>2.4174446023426693E-2</c:v>
                </c:pt>
                <c:pt idx="17">
                  <c:v>2.3629314089255768E-2</c:v>
                </c:pt>
                <c:pt idx="18">
                  <c:v>2.3737916923644929E-2</c:v>
                </c:pt>
                <c:pt idx="19">
                  <c:v>2.459597947383102E-2</c:v>
                </c:pt>
                <c:pt idx="20">
                  <c:v>2.4839179054428825E-2</c:v>
                </c:pt>
                <c:pt idx="21">
                  <c:v>2.4734777844359443E-2</c:v>
                </c:pt>
                <c:pt idx="22">
                  <c:v>2.4848481876740051E-2</c:v>
                </c:pt>
                <c:pt idx="23">
                  <c:v>2.4330688338418165E-2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4-46A7-82C3-3E6202565D36}"/>
            </c:ext>
          </c:extLst>
        </c:ser>
        <c:ser>
          <c:idx val="2"/>
          <c:order val="2"/>
          <c:tx>
            <c:strRef>
              <c:f>'DonnéesGraph ok'!$A$22</c:f>
              <c:strCache>
                <c:ptCount val="1"/>
                <c:pt idx="0">
                  <c:v>Régime des NSA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ok'!$B$20:$Y$20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ok'!$B$22:$Y$22</c:f>
              <c:numCache>
                <c:formatCode>0%</c:formatCode>
                <c:ptCount val="24"/>
                <c:pt idx="0">
                  <c:v>2.9970785682183507E-2</c:v>
                </c:pt>
                <c:pt idx="1">
                  <c:v>2.89228338587398E-2</c:v>
                </c:pt>
                <c:pt idx="2">
                  <c:v>2.7172446652928024E-2</c:v>
                </c:pt>
                <c:pt idx="3">
                  <c:v>2.3262045584714605E-2</c:v>
                </c:pt>
                <c:pt idx="4">
                  <c:v>2.2569886224992005E-2</c:v>
                </c:pt>
                <c:pt idx="5">
                  <c:v>2.1894291732164554E-2</c:v>
                </c:pt>
                <c:pt idx="6">
                  <c:v>2.1158974342264492E-2</c:v>
                </c:pt>
                <c:pt idx="7">
                  <c:v>2.0430375676098168E-2</c:v>
                </c:pt>
                <c:pt idx="8">
                  <c:v>1.9440198011282037E-2</c:v>
                </c:pt>
                <c:pt idx="9">
                  <c:v>1.8854303032174471E-2</c:v>
                </c:pt>
                <c:pt idx="10">
                  <c:v>1.8288266694587243E-2</c:v>
                </c:pt>
                <c:pt idx="11">
                  <c:v>1.7782736979068806E-2</c:v>
                </c:pt>
                <c:pt idx="12">
                  <c:v>1.7593130420649611E-2</c:v>
                </c:pt>
                <c:pt idx="13">
                  <c:v>1.7245056210419833E-2</c:v>
                </c:pt>
                <c:pt idx="14">
                  <c:v>1.6929523047113332E-2</c:v>
                </c:pt>
                <c:pt idx="15">
                  <c:v>1.6146946999043083E-2</c:v>
                </c:pt>
                <c:pt idx="16">
                  <c:v>1.5740520959555693E-2</c:v>
                </c:pt>
                <c:pt idx="17">
                  <c:v>1.5063557085960091E-2</c:v>
                </c:pt>
                <c:pt idx="18">
                  <c:v>1.4526054300423865E-2</c:v>
                </c:pt>
                <c:pt idx="19">
                  <c:v>1.4055019267037814E-2</c:v>
                </c:pt>
                <c:pt idx="20">
                  <c:v>1.3926493645858294E-2</c:v>
                </c:pt>
                <c:pt idx="21">
                  <c:v>1.3153632688278028E-2</c:v>
                </c:pt>
                <c:pt idx="22">
                  <c:v>1.2780909749150565E-2</c:v>
                </c:pt>
                <c:pt idx="23">
                  <c:v>1.2394224101734873E-2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4-46A7-82C3-3E6202565D36}"/>
            </c:ext>
          </c:extLst>
        </c:ser>
        <c:ser>
          <c:idx val="0"/>
          <c:order val="3"/>
          <c:tx>
            <c:strRef>
              <c:f>'DonnéesGraph ok'!$A$24</c:f>
              <c:strCache>
                <c:ptCount val="1"/>
                <c:pt idx="0">
                  <c:v>Régime des indépendants SSI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64-46A7-82C3-3E6202565D36}"/>
              </c:ext>
            </c:extLst>
          </c:dPt>
          <c:cat>
            <c:numRef>
              <c:f>'DonnéesGraph ok'!$B$20:$Y$20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ok'!$B$24:$Y$24</c:f>
              <c:numCache>
                <c:formatCode>0%</c:formatCode>
                <c:ptCount val="24"/>
                <c:pt idx="0">
                  <c:v>4.8562139559857852E-2</c:v>
                </c:pt>
                <c:pt idx="1">
                  <c:v>4.8276147532750439E-2</c:v>
                </c:pt>
                <c:pt idx="2">
                  <c:v>4.6645525702841306E-2</c:v>
                </c:pt>
                <c:pt idx="3">
                  <c:v>4.2330578866241093E-2</c:v>
                </c:pt>
                <c:pt idx="4">
                  <c:v>4.3596212890010623E-2</c:v>
                </c:pt>
                <c:pt idx="5">
                  <c:v>4.5000705070289332E-2</c:v>
                </c:pt>
                <c:pt idx="6">
                  <c:v>4.4496639569250832E-2</c:v>
                </c:pt>
                <c:pt idx="7">
                  <c:v>4.5925116972494108E-2</c:v>
                </c:pt>
                <c:pt idx="8">
                  <c:v>4.7256258042236612E-2</c:v>
                </c:pt>
                <c:pt idx="9">
                  <c:v>4.7138530066277849E-2</c:v>
                </c:pt>
                <c:pt idx="10">
                  <c:v>4.9769906174745318E-2</c:v>
                </c:pt>
                <c:pt idx="11">
                  <c:v>5.1464473663807943E-2</c:v>
                </c:pt>
                <c:pt idx="12">
                  <c:v>5.0336854348212209E-2</c:v>
                </c:pt>
                <c:pt idx="13">
                  <c:v>4.9898136548810007E-2</c:v>
                </c:pt>
                <c:pt idx="14">
                  <c:v>4.8501010824073917E-2</c:v>
                </c:pt>
                <c:pt idx="15">
                  <c:v>4.6400635612416724E-2</c:v>
                </c:pt>
                <c:pt idx="16">
                  <c:v>5.0685747691966147E-2</c:v>
                </c:pt>
                <c:pt idx="17">
                  <c:v>5.4004094491864559E-2</c:v>
                </c:pt>
                <c:pt idx="18">
                  <c:v>5.5295993232991614E-2</c:v>
                </c:pt>
                <c:pt idx="19">
                  <c:v>6.2389947720359731E-2</c:v>
                </c:pt>
                <c:pt idx="20">
                  <c:v>6.8351797765407493E-2</c:v>
                </c:pt>
                <c:pt idx="21">
                  <c:v>7.3705753878392094E-2</c:v>
                </c:pt>
                <c:pt idx="22">
                  <c:v>7.7806994982060326E-2</c:v>
                </c:pt>
                <c:pt idx="23">
                  <c:v>8.0769100106108632E-2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4-46A7-82C3-3E6202565D36}"/>
            </c:ext>
          </c:extLst>
        </c:ser>
        <c:ser>
          <c:idx val="7"/>
          <c:order val="4"/>
          <c:tx>
            <c:strRef>
              <c:f>'DonnéesGraph ok'!$A$25</c:f>
              <c:strCache>
                <c:ptCount val="1"/>
                <c:pt idx="0">
                  <c:v>Régimes spéciaux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ok'!$B$20:$Y$20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ok'!$B$25:$Y$25</c:f>
              <c:numCache>
                <c:formatCode>0%</c:formatCode>
                <c:ptCount val="24"/>
                <c:pt idx="0">
                  <c:v>0.22025927390776553</c:v>
                </c:pt>
                <c:pt idx="1">
                  <c:v>0.21814561784580627</c:v>
                </c:pt>
                <c:pt idx="2">
                  <c:v>0.21407463977095742</c:v>
                </c:pt>
                <c:pt idx="3">
                  <c:v>0.19060554754577369</c:v>
                </c:pt>
                <c:pt idx="4">
                  <c:v>0.19217178619606159</c:v>
                </c:pt>
                <c:pt idx="5">
                  <c:v>0.19230725353064038</c:v>
                </c:pt>
                <c:pt idx="6">
                  <c:v>0.19340027946416305</c:v>
                </c:pt>
                <c:pt idx="7">
                  <c:v>0.1922391479657235</c:v>
                </c:pt>
                <c:pt idx="8">
                  <c:v>0.18653619473879196</c:v>
                </c:pt>
                <c:pt idx="9">
                  <c:v>0.18579286579497714</c:v>
                </c:pt>
                <c:pt idx="10">
                  <c:v>0.18362390230809059</c:v>
                </c:pt>
                <c:pt idx="11">
                  <c:v>0.18653357719967803</c:v>
                </c:pt>
                <c:pt idx="12">
                  <c:v>0.18611634779114208</c:v>
                </c:pt>
                <c:pt idx="13">
                  <c:v>0.18681928882661117</c:v>
                </c:pt>
                <c:pt idx="14">
                  <c:v>0.18679943505188509</c:v>
                </c:pt>
                <c:pt idx="15">
                  <c:v>0.182875989569734</c:v>
                </c:pt>
                <c:pt idx="16">
                  <c:v>0.18302522745485031</c:v>
                </c:pt>
                <c:pt idx="17">
                  <c:v>0.1811456138935722</c:v>
                </c:pt>
                <c:pt idx="18">
                  <c:v>0.18253118379570921</c:v>
                </c:pt>
                <c:pt idx="19">
                  <c:v>0.17413065388540305</c:v>
                </c:pt>
                <c:pt idx="20">
                  <c:v>0.17223350142270696</c:v>
                </c:pt>
                <c:pt idx="21">
                  <c:v>0.16363002481065325</c:v>
                </c:pt>
                <c:pt idx="22">
                  <c:v>0.16226077268633693</c:v>
                </c:pt>
                <c:pt idx="23">
                  <c:v>0.15962856829815131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4-46A7-82C3-3E6202565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129288968"/>
        <c:axId val="129287792"/>
      </c:barChart>
      <c:catAx>
        <c:axId val="12928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287792"/>
        <c:crosses val="autoZero"/>
        <c:auto val="1"/>
        <c:lblAlgn val="ctr"/>
        <c:lblOffset val="100"/>
        <c:noMultiLvlLbl val="0"/>
      </c:catAx>
      <c:valAx>
        <c:axId val="12928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2889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shade val="76000"/>
                </a:schemeClr>
              </a:solidFill>
              <a:ln w="9525" cap="flat" cmpd="sng" algn="ctr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0501138216736742E-2"/>
                  <c:y val="4.18848167539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2F-4F6C-B44C-B6EB9F851ABA}"/>
                </c:ext>
              </c:extLst>
            </c:dLbl>
            <c:dLbl>
              <c:idx val="13"/>
              <c:layout>
                <c:manualLayout>
                  <c:x val="-2.3234623312301739E-2"/>
                  <c:y val="3.1413612565445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9-43DB-BDE5-1EC6B724AAF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2259678501258098E-2"/>
                      <c:h val="2.7654532712206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D2F-4F6C-B44C-B6EB9F851ABA}"/>
                </c:ext>
              </c:extLst>
            </c:dLbl>
            <c:dLbl>
              <c:idx val="23"/>
              <c:layout>
                <c:manualLayout>
                  <c:x val="-1.2300682930042045E-2"/>
                  <c:y val="-4.18848167539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69-43DB-BDE5-1EC6B724AA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ok'!$B$4:$Y$4</c:f>
              <c:numCache>
                <c:formatCode>#,##0</c:formatCode>
                <c:ptCount val="24"/>
                <c:pt idx="0">
                  <c:v>15413792</c:v>
                </c:pt>
                <c:pt idx="1">
                  <c:v>15802363</c:v>
                </c:pt>
                <c:pt idx="2">
                  <c:v>16502649</c:v>
                </c:pt>
                <c:pt idx="3">
                  <c:v>19616421</c:v>
                </c:pt>
                <c:pt idx="4">
                  <c:v>19711559</c:v>
                </c:pt>
                <c:pt idx="5">
                  <c:v>19796457</c:v>
                </c:pt>
                <c:pt idx="6">
                  <c:v>19750058</c:v>
                </c:pt>
                <c:pt idx="7">
                  <c:v>19843786</c:v>
                </c:pt>
                <c:pt idx="8">
                  <c:v>20497119</c:v>
                </c:pt>
                <c:pt idx="9">
                  <c:v>20603251.65108702</c:v>
                </c:pt>
                <c:pt idx="10">
                  <c:v>20910166.482587487</c:v>
                </c:pt>
                <c:pt idx="11">
                  <c:v>21014671</c:v>
                </c:pt>
                <c:pt idx="12">
                  <c:v>21071519</c:v>
                </c:pt>
                <c:pt idx="13">
                  <c:v>21134116</c:v>
                </c:pt>
                <c:pt idx="14">
                  <c:v>21181978</c:v>
                </c:pt>
                <c:pt idx="15">
                  <c:v>21961348</c:v>
                </c:pt>
                <c:pt idx="16">
                  <c:v>22039370</c:v>
                </c:pt>
                <c:pt idx="17" formatCode="_-* #\ ##0\ _€_-;\-* #\ ##0\ _€_-;_-* &quot;-&quot;??\ _€_-;_-@_-">
                  <c:v>22649701</c:v>
                </c:pt>
                <c:pt idx="18" formatCode="_-* #\ ##0\ _€_-;\-* #\ ##0\ _€_-;_-* &quot;-&quot;??\ _€_-;_-@_-">
                  <c:v>22956237</c:v>
                </c:pt>
                <c:pt idx="19" formatCode="_-* #\ ##0\ _€_-;\-* #\ ##0\ _€_-;_-* &quot;-&quot;??\ _€_-;_-@_-">
                  <c:v>23228359</c:v>
                </c:pt>
                <c:pt idx="20" formatCode="_-* #\ ##0\ _€_-;\-* #\ ##0\ _€_-;_-* &quot;-&quot;??\ _€_-;_-@_-">
                  <c:v>22925462</c:v>
                </c:pt>
                <c:pt idx="21" formatCode="_-* #\ ##0\ _€_-;\-* #\ ##0\ _€_-;_-* &quot;-&quot;??\ _€_-;_-@_-">
                  <c:v>24071505</c:v>
                </c:pt>
                <c:pt idx="22" formatCode="_-* #\ ##0\ _€_-;\-* #\ ##0\ _€_-;_-* &quot;-&quot;??\ _€_-;_-@_-">
                  <c:v>24305682</c:v>
                </c:pt>
                <c:pt idx="23" formatCode="_-* #\ ##0\ _€_-;\-* #\ ##0\ _€_-;_-* &quot;-&quot;??\ _€_-;_-@_-">
                  <c:v>24576513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B-45A5-8B4D-737A0D40278A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ln w="28575" cap="rnd" cmpd="sng" algn="ctr">
              <a:solidFill>
                <a:schemeClr val="accent5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tint val="77000"/>
                </a:schemeClr>
              </a:solidFill>
              <a:ln w="9525" cap="flat" cmpd="sng" algn="ctr">
                <a:solidFill>
                  <a:schemeClr val="accent5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5034168025606956E-2"/>
                  <c:y val="4.18848167539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2F-4F6C-B44C-B6EB9F851ABA}"/>
                </c:ext>
              </c:extLst>
            </c:dLbl>
            <c:dLbl>
              <c:idx val="13"/>
              <c:layout>
                <c:manualLayout>
                  <c:x val="-1.9134395668954293E-2"/>
                  <c:y val="4.188481675392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69-43DB-BDE5-1EC6B724AAFB}"/>
                </c:ext>
              </c:extLst>
            </c:dLbl>
            <c:dLbl>
              <c:idx val="23"/>
              <c:layout>
                <c:manualLayout>
                  <c:x val="-3.006833605121409E-2"/>
                  <c:y val="5.026178010471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9-43DB-BDE5-1EC6B724AA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ok'!$B$19:$Y$19</c:f>
              <c:numCache>
                <c:formatCode>#,##0</c:formatCode>
                <c:ptCount val="24"/>
                <c:pt idx="0">
                  <c:v>7247214</c:v>
                </c:pt>
                <c:pt idx="1">
                  <c:v>7447331</c:v>
                </c:pt>
                <c:pt idx="2">
                  <c:v>7640068</c:v>
                </c:pt>
                <c:pt idx="3">
                  <c:v>7829478</c:v>
                </c:pt>
                <c:pt idx="4">
                  <c:v>7991239</c:v>
                </c:pt>
                <c:pt idx="5">
                  <c:v>8182849</c:v>
                </c:pt>
                <c:pt idx="6">
                  <c:v>8366315</c:v>
                </c:pt>
                <c:pt idx="7">
                  <c:v>8529343</c:v>
                </c:pt>
                <c:pt idx="8">
                  <c:v>8707276</c:v>
                </c:pt>
                <c:pt idx="9">
                  <c:v>8900883</c:v>
                </c:pt>
                <c:pt idx="10">
                  <c:v>9101064</c:v>
                </c:pt>
                <c:pt idx="11">
                  <c:v>9364530</c:v>
                </c:pt>
                <c:pt idx="12">
                  <c:v>9709081</c:v>
                </c:pt>
                <c:pt idx="13">
                  <c:v>10056212</c:v>
                </c:pt>
                <c:pt idx="14">
                  <c:v>10421561</c:v>
                </c:pt>
                <c:pt idx="15">
                  <c:v>10744163.724420674</c:v>
                </c:pt>
                <c:pt idx="16">
                  <c:v>11064931</c:v>
                </c:pt>
                <c:pt idx="17">
                  <c:v>11288191</c:v>
                </c:pt>
                <c:pt idx="18">
                  <c:v>11546822</c:v>
                </c:pt>
                <c:pt idx="19">
                  <c:v>11807198</c:v>
                </c:pt>
                <c:pt idx="20">
                  <c:v>12044595</c:v>
                </c:pt>
                <c:pt idx="21">
                  <c:v>12146584</c:v>
                </c:pt>
                <c:pt idx="22">
                  <c:v>12306135</c:v>
                </c:pt>
                <c:pt idx="23">
                  <c:v>12499703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B-45A5-8B4D-737A0D40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09088"/>
        <c:axId val="443809480"/>
      </c:lineChart>
      <c:catAx>
        <c:axId val="44380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09480"/>
        <c:crosses val="autoZero"/>
        <c:auto val="1"/>
        <c:lblAlgn val="ctr"/>
        <c:lblOffset val="100"/>
        <c:noMultiLvlLbl val="0"/>
      </c:catAx>
      <c:valAx>
        <c:axId val="443809480"/>
        <c:scaling>
          <c:orientation val="minMax"/>
          <c:max val="260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43809088"/>
        <c:crosses val="autoZero"/>
        <c:crossBetween val="between"/>
        <c:majorUnit val="2000000"/>
        <c:dispUnits>
          <c:builtInUnit val="thousands"/>
          <c:dispUnitsLbl>
            <c:layout>
              <c:manualLayout>
                <c:xMode val="edge"/>
                <c:yMode val="edge"/>
                <c:x val="6.8326009538310934E-3"/>
                <c:y val="0.4238608842031997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95172170280629E-2"/>
          <c:y val="2.6187080018139092E-2"/>
          <c:w val="0.9019976363147999"/>
          <c:h val="0.85903033292231812"/>
        </c:manualLayout>
      </c:layout>
      <c:lineChart>
        <c:grouping val="standard"/>
        <c:varyColors val="0"/>
        <c:ser>
          <c:idx val="1"/>
          <c:order val="0"/>
          <c:tx>
            <c:strRef>
              <c:f>'Compléter avc fascic acompte ok'!$A$33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ln w="22225" cap="flat">
              <a:solidFill>
                <a:schemeClr val="accent4">
                  <a:lumMod val="75000"/>
                </a:schemeClr>
              </a:solidFill>
              <a:prstDash val="sysDot"/>
              <a:bevel/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4-47DB-AE9A-75A6E78E6A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4-47DB-AE9A-75A6E78E6A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4-47DB-AE9A-75A6E78E6A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B4-47DB-AE9A-75A6E78E6A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B4-47DB-AE9A-75A6E78E6A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B4-47DB-AE9A-75A6E78E6A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B4-47DB-AE9A-75A6E78E6A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B4-47DB-AE9A-75A6E78E6A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4-47DB-AE9A-75A6E78E6A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4-47DB-AE9A-75A6E78E6A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B4-47DB-AE9A-75A6E78E6A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B4-47DB-AE9A-75A6E78E6A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B4-47DB-AE9A-75A6E78E6A6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B4-47DB-AE9A-75A6E78E6A6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B4-47DB-AE9A-75A6E78E6A6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B4-47DB-AE9A-75A6E78E6A6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B4-47DB-AE9A-75A6E78E6A6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B4-47DB-AE9A-75A6E78E6A6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7D-4EFE-81A7-2FAF1B294C9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7D-4EFE-81A7-2FAF1B294C97}"/>
                </c:ext>
              </c:extLst>
            </c:dLbl>
            <c:dLbl>
              <c:idx val="22"/>
              <c:layout>
                <c:manualLayout>
                  <c:x val="1.152701161226787E-2"/>
                  <c:y val="2.991392737325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B4-47DB-AE9A-75A6E78E6A6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5D-4051-9F53-4FE9F0A947E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4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ok'!$B$33:$Y$33</c:f>
              <c:numCache>
                <c:formatCode>#\ ##0.0</c:formatCode>
                <c:ptCount val="24"/>
                <c:pt idx="0">
                  <c:v>0.4701772282900924</c:v>
                </c:pt>
                <c:pt idx="1">
                  <c:v>0.47127958014886762</c:v>
                </c:pt>
                <c:pt idx="2">
                  <c:v>0.4629600981030379</c:v>
                </c:pt>
                <c:pt idx="3">
                  <c:v>0.39912877073753666</c:v>
                </c:pt>
                <c:pt idx="4">
                  <c:v>0.40540877563261229</c:v>
                </c:pt>
                <c:pt idx="5">
                  <c:v>0.41334916646953546</c:v>
                </c:pt>
                <c:pt idx="6">
                  <c:v>0.42360964205776003</c:v>
                </c:pt>
                <c:pt idx="7">
                  <c:v>0.42982437927923633</c:v>
                </c:pt>
                <c:pt idx="8">
                  <c:v>0.42480487135777473</c:v>
                </c:pt>
                <c:pt idx="9">
                  <c:v>0.43201350693255219</c:v>
                </c:pt>
                <c:pt idx="10">
                  <c:v>0.43524588900708777</c:v>
                </c:pt>
                <c:pt idx="11">
                  <c:v>0.44561868230056995</c:v>
                </c:pt>
                <c:pt idx="12" formatCode="0.00">
                  <c:v>0.46076796836526118</c:v>
                </c:pt>
                <c:pt idx="13" formatCode="0.00">
                  <c:v>0.47582837152971053</c:v>
                </c:pt>
                <c:pt idx="14" formatCode="0.00">
                  <c:v>0.49200131356948817</c:v>
                </c:pt>
                <c:pt idx="15" formatCode="0.00">
                  <c:v>0.48923061209269458</c:v>
                </c:pt>
                <c:pt idx="16" formatCode="0.00">
                  <c:v>0.50205296249393694</c:v>
                </c:pt>
                <c:pt idx="17" formatCode="0.00">
                  <c:v>0.49838145766250952</c:v>
                </c:pt>
                <c:pt idx="18" formatCode="0.00">
                  <c:v>0.5029928032194475</c:v>
                </c:pt>
                <c:pt idx="19" formatCode="0.00">
                  <c:v>0.50830960551281301</c:v>
                </c:pt>
                <c:pt idx="20" formatCode="0.00">
                  <c:v>0.52538068807511928</c:v>
                </c:pt>
                <c:pt idx="21" formatCode="0.00">
                  <c:v>0.50460426134552039</c:v>
                </c:pt>
                <c:pt idx="22" formatCode="0.00">
                  <c:v>0.50630692033245561</c:v>
                </c:pt>
                <c:pt idx="23" formatCode="0.00">
                  <c:v>0.50860360051891818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D-4EFE-81A7-2FAF1B294C97}"/>
            </c:ext>
          </c:extLst>
        </c:ser>
        <c:ser>
          <c:idx val="2"/>
          <c:order val="1"/>
          <c:tx>
            <c:strRef>
              <c:f>'Compléter avc fascic acompte ok'!$A$34</c:f>
              <c:strCache>
                <c:ptCount val="1"/>
                <c:pt idx="0">
                  <c:v>Régime des SA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DB4-47DB-AE9A-75A6E78E6A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DB4-47DB-AE9A-75A6E78E6A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DB4-47DB-AE9A-75A6E78E6A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DB4-47DB-AE9A-75A6E78E6A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DB4-47DB-AE9A-75A6E78E6A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DB4-47DB-AE9A-75A6E78E6A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DB4-47DB-AE9A-75A6E78E6A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DB4-47DB-AE9A-75A6E78E6A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DB4-47DB-AE9A-75A6E78E6A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DB4-47DB-AE9A-75A6E78E6A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DB4-47DB-AE9A-75A6E78E6A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DB4-47DB-AE9A-75A6E78E6A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DB4-47DB-AE9A-75A6E78E6A6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DB4-47DB-AE9A-75A6E78E6A6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DB4-47DB-AE9A-75A6E78E6A6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DB4-47DB-AE9A-75A6E78E6A6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DB4-47DB-AE9A-75A6E78E6A6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DB4-47DB-AE9A-75A6E78E6A6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DB4-47DB-AE9A-75A6E78E6A6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DB4-47DB-AE9A-75A6E78E6A6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5D-4051-9F53-4FE9F0A947E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ok'!$B$34:$Y$34</c:f>
              <c:numCache>
                <c:formatCode>#\ ##0.0</c:formatCode>
                <c:ptCount val="24"/>
                <c:pt idx="0">
                  <c:v>2.2708110001379795</c:v>
                </c:pt>
                <c:pt idx="1">
                  <c:v>2.2480527483179973</c:v>
                </c:pt>
                <c:pt idx="2">
                  <c:v>2.2660433814744043</c:v>
                </c:pt>
                <c:pt idx="3">
                  <c:v>2.0907611230358363</c:v>
                </c:pt>
                <c:pt idx="4">
                  <c:v>2.1510216739602357</c:v>
                </c:pt>
                <c:pt idx="5">
                  <c:v>2.1695048612292251</c:v>
                </c:pt>
                <c:pt idx="6">
                  <c:v>2.1844794421735996</c:v>
                </c:pt>
                <c:pt idx="7">
                  <c:v>2.18848255829477</c:v>
                </c:pt>
                <c:pt idx="8">
                  <c:v>2.1767186734411657</c:v>
                </c:pt>
                <c:pt idx="9">
                  <c:v>2.1597397812255088</c:v>
                </c:pt>
                <c:pt idx="10">
                  <c:v>2.1590856974581256</c:v>
                </c:pt>
                <c:pt idx="11">
                  <c:v>2.2638730963080853</c:v>
                </c:pt>
                <c:pt idx="12" formatCode="0.00">
                  <c:v>2.2852893277867929</c:v>
                </c:pt>
                <c:pt idx="13" formatCode="0.00">
                  <c:v>2.283457176491686</c:v>
                </c:pt>
                <c:pt idx="14" formatCode="0.00">
                  <c:v>2.2520349827736341</c:v>
                </c:pt>
                <c:pt idx="15" formatCode="0.00">
                  <c:v>2.2475338646877723</c:v>
                </c:pt>
                <c:pt idx="16" formatCode="0.00">
                  <c:v>2.2503803722467319</c:v>
                </c:pt>
                <c:pt idx="17" formatCode="0.00">
                  <c:v>2.2595837867320827</c:v>
                </c:pt>
                <c:pt idx="18" formatCode="0.00">
                  <c:v>2.2396445105710283</c:v>
                </c:pt>
                <c:pt idx="19" formatCode="0.00">
                  <c:v>2.1589416660323262</c:v>
                </c:pt>
                <c:pt idx="20" formatCode="0.0">
                  <c:v>2.1643984358192334</c:v>
                </c:pt>
                <c:pt idx="21" formatCode="0.00">
                  <c:v>2.0449799147900181</c:v>
                </c:pt>
                <c:pt idx="22" formatCode="0.00">
                  <c:v>1.9803649549487059</c:v>
                </c:pt>
                <c:pt idx="23" formatCode="0.00">
                  <c:v>1.9602489848271094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7D-4EFE-81A7-2FAF1B294C97}"/>
            </c:ext>
          </c:extLst>
        </c:ser>
        <c:ser>
          <c:idx val="3"/>
          <c:order val="2"/>
          <c:tx>
            <c:strRef>
              <c:f>'Compléter avc fascic acompte ok'!$A$35</c:f>
              <c:strCache>
                <c:ptCount val="1"/>
                <c:pt idx="0">
                  <c:v>Régime des NSA</c:v>
                </c:pt>
              </c:strCache>
            </c:strRef>
          </c:tx>
          <c:spPr>
            <a:ln cmpd="dbl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DB4-47DB-AE9A-75A6E78E6A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DB4-47DB-AE9A-75A6E78E6A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DB4-47DB-AE9A-75A6E78E6A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8DB4-47DB-AE9A-75A6E78E6A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DB4-47DB-AE9A-75A6E78E6A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DB4-47DB-AE9A-75A6E78E6A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8DB4-47DB-AE9A-75A6E78E6A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DB4-47DB-AE9A-75A6E78E6A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DB4-47DB-AE9A-75A6E78E6A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DB4-47DB-AE9A-75A6E78E6A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DB4-47DB-AE9A-75A6E78E6A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DB4-47DB-AE9A-75A6E78E6A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DB4-47DB-AE9A-75A6E78E6A6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DB4-47DB-AE9A-75A6E78E6A6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8DB4-47DB-AE9A-75A6E78E6A6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8DB4-47DB-AE9A-75A6E78E6A6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8DB4-47DB-AE9A-75A6E78E6A6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8DB4-47DB-AE9A-75A6E78E6A6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8DB4-47DB-AE9A-75A6E78E6A6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8DB4-47DB-AE9A-75A6E78E6A6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5D-4051-9F53-4FE9F0A947E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ok'!$B$35:$Y$35</c:f>
              <c:numCache>
                <c:formatCode>#\ ##0.0</c:formatCode>
                <c:ptCount val="24"/>
                <c:pt idx="0">
                  <c:v>2.5118719068413391</c:v>
                </c:pt>
                <c:pt idx="1">
                  <c:v>2.5430801756383152</c:v>
                </c:pt>
                <c:pt idx="2">
                  <c:v>2.6102134669503743</c:v>
                </c:pt>
                <c:pt idx="3">
                  <c:v>2.6620783556833549</c:v>
                </c:pt>
                <c:pt idx="4">
                  <c:v>2.7033995732645582</c:v>
                </c:pt>
                <c:pt idx="5">
                  <c:v>2.7322716494794363</c:v>
                </c:pt>
                <c:pt idx="6">
                  <c:v>2.7717452680065571</c:v>
                </c:pt>
                <c:pt idx="7">
                  <c:v>2.7982875200819164</c:v>
                </c:pt>
                <c:pt idx="8">
                  <c:v>2.8010479359139917</c:v>
                </c:pt>
                <c:pt idx="9">
                  <c:v>2.7819434387582067</c:v>
                </c:pt>
                <c:pt idx="10">
                  <c:v>2.7550641116631183</c:v>
                </c:pt>
                <c:pt idx="11">
                  <c:v>2.7426126402397744</c:v>
                </c:pt>
                <c:pt idx="12" formatCode="0.00">
                  <c:v>2.7157936794098445</c:v>
                </c:pt>
                <c:pt idx="13" formatCode="0.00">
                  <c:v>2.6977086678162969</c:v>
                </c:pt>
                <c:pt idx="14" formatCode="0.00">
                  <c:v>2.6876112050287873</c:v>
                </c:pt>
                <c:pt idx="15" formatCode="0.00">
                  <c:v>2.6724513432923569</c:v>
                </c:pt>
                <c:pt idx="16" formatCode="0.00">
                  <c:v>2.642603639500579</c:v>
                </c:pt>
                <c:pt idx="17" formatCode="0.00">
                  <c:v>2.6013663935298501</c:v>
                </c:pt>
                <c:pt idx="18" formatCode="0.00">
                  <c:v>2.5652294727153131</c:v>
                </c:pt>
                <c:pt idx="19" formatCode="0.00">
                  <c:v>2.5359855422863702</c:v>
                </c:pt>
                <c:pt idx="20" formatCode="0.0">
                  <c:v>2.4949879580076426</c:v>
                </c:pt>
                <c:pt idx="21" formatCode="0.00">
                  <c:v>2.4316730874438899</c:v>
                </c:pt>
                <c:pt idx="22" formatCode="0.00">
                  <c:v>2.3805399448010958</c:v>
                </c:pt>
                <c:pt idx="23" formatCode="0.00">
                  <c:v>2.3474432876660316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7D-4EFE-81A7-2FAF1B294C97}"/>
            </c:ext>
          </c:extLst>
        </c:ser>
        <c:ser>
          <c:idx val="4"/>
          <c:order val="3"/>
          <c:tx>
            <c:strRef>
              <c:f>'Compléter avc fascic acompte ok'!$A$36</c:f>
              <c:strCache>
                <c:ptCount val="1"/>
                <c:pt idx="0">
                  <c:v>SSI</c:v>
                </c:pt>
              </c:strCache>
            </c:strRef>
          </c:tx>
          <c:spPr>
            <a:ln cmpd="sng">
              <a:solidFill>
                <a:schemeClr val="accent1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B4-47DB-AE9A-75A6E78E6A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B4-47DB-AE9A-75A6E78E6A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B4-47DB-AE9A-75A6E78E6A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B4-47DB-AE9A-75A6E78E6A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DB4-47DB-AE9A-75A6E78E6A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DB4-47DB-AE9A-75A6E78E6A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DB4-47DB-AE9A-75A6E78E6A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DB4-47DB-AE9A-75A6E78E6A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DB4-47DB-AE9A-75A6E78E6A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DB4-47DB-AE9A-75A6E78E6A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DB4-47DB-AE9A-75A6E78E6A6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DB4-47DB-AE9A-75A6E78E6A6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DB4-47DB-AE9A-75A6E78E6A6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DB4-47DB-AE9A-75A6E78E6A6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DB4-47DB-AE9A-75A6E78E6A6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DB4-47DB-AE9A-75A6E78E6A6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DB4-47DB-AE9A-75A6E78E6A6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DB4-47DB-AE9A-75A6E78E6A6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DB4-47DB-AE9A-75A6E78E6A6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DB4-47DB-AE9A-75A6E78E6A6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B4-47DB-AE9A-75A6E78E6A65}"/>
                </c:ext>
              </c:extLst>
            </c:dLbl>
            <c:dLbl>
              <c:idx val="23"/>
              <c:layout>
                <c:manualLayout>
                  <c:x val="-1.4983706701270888E-2"/>
                  <c:y val="-3.0781637488239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5D-4051-9F53-4FE9F0A947E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ok'!$B$36:$Y$36</c:f>
              <c:numCache>
                <c:formatCode>#\ ##0.0</c:formatCode>
                <c:ptCount val="24"/>
                <c:pt idx="0">
                  <c:v>0.88661258025597467</c:v>
                </c:pt>
                <c:pt idx="1">
                  <c:v>0.89169405847897276</c:v>
                </c:pt>
                <c:pt idx="2">
                  <c:v>0.90510581166705018</c:v>
                </c:pt>
                <c:pt idx="3">
                  <c:v>0.89054788195747947</c:v>
                </c:pt>
                <c:pt idx="4">
                  <c:v>0.8693887098277906</c:v>
                </c:pt>
                <c:pt idx="5">
                  <c:v>0.85430139487569501</c:v>
                </c:pt>
                <c:pt idx="6">
                  <c:v>0.87737555419766333</c:v>
                </c:pt>
                <c:pt idx="7">
                  <c:v>0.86029896274864148</c:v>
                </c:pt>
                <c:pt idx="8">
                  <c:v>0.83071465718539006</c:v>
                </c:pt>
                <c:pt idx="9">
                  <c:v>0.84622932614238289</c:v>
                </c:pt>
                <c:pt idx="10">
                  <c:v>0.80617262264657696</c:v>
                </c:pt>
                <c:pt idx="11">
                  <c:v>0.79372767414986756</c:v>
                </c:pt>
                <c:pt idx="12" formatCode="0.00">
                  <c:v>0.84189463229749439</c:v>
                </c:pt>
                <c:pt idx="13" formatCode="0.00">
                  <c:v>0.87535167801877944</c:v>
                </c:pt>
                <c:pt idx="14" formatCode="0.00">
                  <c:v>0.93133972285772426</c:v>
                </c:pt>
                <c:pt idx="15" formatCode="0.00">
                  <c:v>0.98053229390600027</c:v>
                </c:pt>
                <c:pt idx="16" formatCode="0.00">
                  <c:v>0.91792315175097272</c:v>
                </c:pt>
                <c:pt idx="17" formatCode="0.00">
                  <c:v>0.85870292457305075</c:v>
                </c:pt>
                <c:pt idx="18" formatCode="0.00">
                  <c:v>0.80657010274767482</c:v>
                </c:pt>
                <c:pt idx="19" formatCode="0.00">
                  <c:v>0.72508592612154099</c:v>
                </c:pt>
                <c:pt idx="20" formatCode="0.00">
                  <c:v>0.67906673215527424</c:v>
                </c:pt>
                <c:pt idx="21" formatCode="0.00">
                  <c:v>0.60673276030754009</c:v>
                </c:pt>
                <c:pt idx="22" formatCode="0.00">
                  <c:v>0.54070122288908595</c:v>
                </c:pt>
                <c:pt idx="23" formatCode="0.00">
                  <c:v>0.50091951863108619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7D-4EFE-81A7-2FAF1B294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53384"/>
        <c:axId val="442555344"/>
      </c:lineChart>
      <c:catAx>
        <c:axId val="44255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442555344"/>
        <c:crosses val="autoZero"/>
        <c:auto val="1"/>
        <c:lblAlgn val="ctr"/>
        <c:lblOffset val="100"/>
        <c:noMultiLvlLbl val="0"/>
      </c:catAx>
      <c:valAx>
        <c:axId val="442555344"/>
        <c:scaling>
          <c:orientation val="minMax"/>
          <c:min val="0"/>
        </c:scaling>
        <c:delete val="1"/>
        <c:axPos val="l"/>
        <c:numFmt formatCode="#\ ##0.0" sourceLinked="1"/>
        <c:majorTickMark val="none"/>
        <c:minorTickMark val="none"/>
        <c:tickLblPos val="nextTo"/>
        <c:crossAx val="44255338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95172170280629E-2"/>
          <c:y val="2.6187080018139092E-2"/>
          <c:w val="0.9019976363147999"/>
          <c:h val="0.85903033292231812"/>
        </c:manualLayout>
      </c:layout>
      <c:lineChart>
        <c:grouping val="standard"/>
        <c:varyColors val="0"/>
        <c:ser>
          <c:idx val="1"/>
          <c:order val="0"/>
          <c:tx>
            <c:strRef>
              <c:f>'Compléter avc fascic acompte ok'!$A$33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ln w="22225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B7-4E54-AEBB-4061DF891A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B7-4E54-AEBB-4061DF891A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B7-4E54-AEBB-4061DF891A0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B7-4E54-AEBB-4061DF891A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B7-4E54-AEBB-4061DF891A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B7-4E54-AEBB-4061DF891A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B7-4E54-AEBB-4061DF891A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B7-4E54-AEBB-4061DF891A0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B7-4E54-AEBB-4061DF891A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B7-4E54-AEBB-4061DF891A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B7-4E54-AEBB-4061DF891A0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B7-4E54-AEBB-4061DF891A0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B7-4E54-AEBB-4061DF891A0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B7-4E54-AEBB-4061DF891A0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B7-4E54-AEBB-4061DF891A0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B7-4E54-AEBB-4061DF891A0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B7-4E54-AEBB-4061DF891A0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B7-4E54-AEBB-4061DF891A0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B7-4E54-AEBB-4061DF891A0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B7-4E54-AEBB-4061DF891A0D}"/>
                </c:ext>
              </c:extLst>
            </c:dLbl>
            <c:dLbl>
              <c:idx val="22"/>
              <c:layout>
                <c:manualLayout>
                  <c:x val="1.154849441216982E-2"/>
                  <c:y val="2.5729363335599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B7-4E54-AEBB-4061DF891A0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C-4C99-B30F-DEC1E7A23BA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ok'!$B$33:$Y$33</c:f>
              <c:numCache>
                <c:formatCode>#\ ##0.0</c:formatCode>
                <c:ptCount val="24"/>
                <c:pt idx="0">
                  <c:v>0.4701772282900924</c:v>
                </c:pt>
                <c:pt idx="1">
                  <c:v>0.47127958014886762</c:v>
                </c:pt>
                <c:pt idx="2">
                  <c:v>0.4629600981030379</c:v>
                </c:pt>
                <c:pt idx="3">
                  <c:v>0.39912877073753666</c:v>
                </c:pt>
                <c:pt idx="4">
                  <c:v>0.40540877563261229</c:v>
                </c:pt>
                <c:pt idx="5">
                  <c:v>0.41334916646953546</c:v>
                </c:pt>
                <c:pt idx="6">
                  <c:v>0.42360964205776003</c:v>
                </c:pt>
                <c:pt idx="7">
                  <c:v>0.42982437927923633</c:v>
                </c:pt>
                <c:pt idx="8">
                  <c:v>0.42480487135777473</c:v>
                </c:pt>
                <c:pt idx="9">
                  <c:v>0.43201350693255219</c:v>
                </c:pt>
                <c:pt idx="10">
                  <c:v>0.43524588900708777</c:v>
                </c:pt>
                <c:pt idx="11">
                  <c:v>0.44561868230056995</c:v>
                </c:pt>
                <c:pt idx="12" formatCode="0.00">
                  <c:v>0.46076796836526118</c:v>
                </c:pt>
                <c:pt idx="13" formatCode="0.00">
                  <c:v>0.47582837152971053</c:v>
                </c:pt>
                <c:pt idx="14" formatCode="0.00">
                  <c:v>0.49200131356948817</c:v>
                </c:pt>
                <c:pt idx="15" formatCode="0.00">
                  <c:v>0.48923061209269458</c:v>
                </c:pt>
                <c:pt idx="16" formatCode="0.00">
                  <c:v>0.50205296249393694</c:v>
                </c:pt>
                <c:pt idx="17" formatCode="0.00">
                  <c:v>0.49838145766250952</c:v>
                </c:pt>
                <c:pt idx="18" formatCode="0.00">
                  <c:v>0.5029928032194475</c:v>
                </c:pt>
                <c:pt idx="19" formatCode="0.00">
                  <c:v>0.50830960551281301</c:v>
                </c:pt>
                <c:pt idx="20" formatCode="0.00">
                  <c:v>0.52538068807511928</c:v>
                </c:pt>
                <c:pt idx="21" formatCode="0.00">
                  <c:v>0.50460426134552039</c:v>
                </c:pt>
                <c:pt idx="22" formatCode="0.00">
                  <c:v>0.50630692033245561</c:v>
                </c:pt>
                <c:pt idx="23" formatCode="0.00">
                  <c:v>0.50860360051891818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AB7-4E54-AEBB-4061DF891A0D}"/>
            </c:ext>
          </c:extLst>
        </c:ser>
        <c:ser>
          <c:idx val="2"/>
          <c:order val="1"/>
          <c:tx>
            <c:strRef>
              <c:f>'Compléter avc fascic acompte ok'!$A$34</c:f>
              <c:strCache>
                <c:ptCount val="1"/>
                <c:pt idx="0">
                  <c:v>Régime des SA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B7-4E54-AEBB-4061DF891A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B7-4E54-AEBB-4061DF891A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B7-4E54-AEBB-4061DF891A0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B7-4E54-AEBB-4061DF891A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B7-4E54-AEBB-4061DF891A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B7-4E54-AEBB-4061DF891A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B7-4E54-AEBB-4061DF891A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B7-4E54-AEBB-4061DF891A0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B7-4E54-AEBB-4061DF891A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B7-4E54-AEBB-4061DF891A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B7-4E54-AEBB-4061DF891A0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B7-4E54-AEBB-4061DF891A0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B7-4E54-AEBB-4061DF891A0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B7-4E54-AEBB-4061DF891A0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B7-4E54-AEBB-4061DF891A0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AB7-4E54-AEBB-4061DF891A0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B7-4E54-AEBB-4061DF891A0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AB7-4E54-AEBB-4061DF891A0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AB7-4E54-AEBB-4061DF891A0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AB7-4E54-AEBB-4061DF891A0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C-4C99-B30F-DEC1E7A23BA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ok'!$B$34:$Y$34</c:f>
              <c:numCache>
                <c:formatCode>#\ ##0.0</c:formatCode>
                <c:ptCount val="24"/>
                <c:pt idx="0">
                  <c:v>2.2708110001379795</c:v>
                </c:pt>
                <c:pt idx="1">
                  <c:v>2.2480527483179973</c:v>
                </c:pt>
                <c:pt idx="2">
                  <c:v>2.2660433814744043</c:v>
                </c:pt>
                <c:pt idx="3">
                  <c:v>2.0907611230358363</c:v>
                </c:pt>
                <c:pt idx="4">
                  <c:v>2.1510216739602357</c:v>
                </c:pt>
                <c:pt idx="5">
                  <c:v>2.1695048612292251</c:v>
                </c:pt>
                <c:pt idx="6">
                  <c:v>2.1844794421735996</c:v>
                </c:pt>
                <c:pt idx="7">
                  <c:v>2.18848255829477</c:v>
                </c:pt>
                <c:pt idx="8">
                  <c:v>2.1767186734411657</c:v>
                </c:pt>
                <c:pt idx="9">
                  <c:v>2.1597397812255088</c:v>
                </c:pt>
                <c:pt idx="10">
                  <c:v>2.1590856974581256</c:v>
                </c:pt>
                <c:pt idx="11">
                  <c:v>2.2638730963080853</c:v>
                </c:pt>
                <c:pt idx="12" formatCode="0.00">
                  <c:v>2.2852893277867929</c:v>
                </c:pt>
                <c:pt idx="13" formatCode="0.00">
                  <c:v>2.283457176491686</c:v>
                </c:pt>
                <c:pt idx="14" formatCode="0.00">
                  <c:v>2.2520349827736341</c:v>
                </c:pt>
                <c:pt idx="15" formatCode="0.00">
                  <c:v>2.2475338646877723</c:v>
                </c:pt>
                <c:pt idx="16" formatCode="0.00">
                  <c:v>2.2503803722467319</c:v>
                </c:pt>
                <c:pt idx="17" formatCode="0.00">
                  <c:v>2.2595837867320827</c:v>
                </c:pt>
                <c:pt idx="18" formatCode="0.00">
                  <c:v>2.2396445105710283</c:v>
                </c:pt>
                <c:pt idx="19" formatCode="0.00">
                  <c:v>2.1589416660323262</c:v>
                </c:pt>
                <c:pt idx="20" formatCode="0.0">
                  <c:v>2.1643984358192334</c:v>
                </c:pt>
                <c:pt idx="21" formatCode="0.00">
                  <c:v>2.0449799147900181</c:v>
                </c:pt>
                <c:pt idx="22" formatCode="0.00">
                  <c:v>1.9803649549487059</c:v>
                </c:pt>
                <c:pt idx="23" formatCode="0.00">
                  <c:v>1.9602489848271094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AB7-4E54-AEBB-4061DF891A0D}"/>
            </c:ext>
          </c:extLst>
        </c:ser>
        <c:ser>
          <c:idx val="3"/>
          <c:order val="2"/>
          <c:tx>
            <c:strRef>
              <c:f>'Compléter avc fascic acompte ok'!$A$35</c:f>
              <c:strCache>
                <c:ptCount val="1"/>
                <c:pt idx="0">
                  <c:v>Régime des NSA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AB7-4E54-AEBB-4061DF891A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AB7-4E54-AEBB-4061DF891A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AB7-4E54-AEBB-4061DF891A0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AB7-4E54-AEBB-4061DF891A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AB7-4E54-AEBB-4061DF891A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AB7-4E54-AEBB-4061DF891A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AB7-4E54-AEBB-4061DF891A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AB7-4E54-AEBB-4061DF891A0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AB7-4E54-AEBB-4061DF891A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AB7-4E54-AEBB-4061DF891A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AB7-4E54-AEBB-4061DF891A0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AB7-4E54-AEBB-4061DF891A0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AB7-4E54-AEBB-4061DF891A0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AB7-4E54-AEBB-4061DF891A0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AB7-4E54-AEBB-4061DF891A0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AB7-4E54-AEBB-4061DF891A0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AB7-4E54-AEBB-4061DF891A0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AB7-4E54-AEBB-4061DF891A0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AB7-4E54-AEBB-4061DF891A0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AB7-4E54-AEBB-4061DF891A0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3C-4C99-B30F-DEC1E7A23BA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ok'!$B$35:$Y$35</c:f>
              <c:numCache>
                <c:formatCode>#\ ##0.0</c:formatCode>
                <c:ptCount val="24"/>
                <c:pt idx="0">
                  <c:v>2.5118719068413391</c:v>
                </c:pt>
                <c:pt idx="1">
                  <c:v>2.5430801756383152</c:v>
                </c:pt>
                <c:pt idx="2">
                  <c:v>2.6102134669503743</c:v>
                </c:pt>
                <c:pt idx="3">
                  <c:v>2.6620783556833549</c:v>
                </c:pt>
                <c:pt idx="4">
                  <c:v>2.7033995732645582</c:v>
                </c:pt>
                <c:pt idx="5">
                  <c:v>2.7322716494794363</c:v>
                </c:pt>
                <c:pt idx="6">
                  <c:v>2.7717452680065571</c:v>
                </c:pt>
                <c:pt idx="7">
                  <c:v>2.7982875200819164</c:v>
                </c:pt>
                <c:pt idx="8">
                  <c:v>2.8010479359139917</c:v>
                </c:pt>
                <c:pt idx="9">
                  <c:v>2.7819434387582067</c:v>
                </c:pt>
                <c:pt idx="10">
                  <c:v>2.7550641116631183</c:v>
                </c:pt>
                <c:pt idx="11">
                  <c:v>2.7426126402397744</c:v>
                </c:pt>
                <c:pt idx="12" formatCode="0.00">
                  <c:v>2.7157936794098445</c:v>
                </c:pt>
                <c:pt idx="13" formatCode="0.00">
                  <c:v>2.6977086678162969</c:v>
                </c:pt>
                <c:pt idx="14" formatCode="0.00">
                  <c:v>2.6876112050287873</c:v>
                </c:pt>
                <c:pt idx="15" formatCode="0.00">
                  <c:v>2.6724513432923569</c:v>
                </c:pt>
                <c:pt idx="16" formatCode="0.00">
                  <c:v>2.642603639500579</c:v>
                </c:pt>
                <c:pt idx="17" formatCode="0.00">
                  <c:v>2.6013663935298501</c:v>
                </c:pt>
                <c:pt idx="18" formatCode="0.00">
                  <c:v>2.5652294727153131</c:v>
                </c:pt>
                <c:pt idx="19" formatCode="0.00">
                  <c:v>2.5359855422863702</c:v>
                </c:pt>
                <c:pt idx="20" formatCode="0.0">
                  <c:v>2.4949879580076426</c:v>
                </c:pt>
                <c:pt idx="21" formatCode="0.00">
                  <c:v>2.4316730874438899</c:v>
                </c:pt>
                <c:pt idx="22" formatCode="0.00">
                  <c:v>2.3805399448010958</c:v>
                </c:pt>
                <c:pt idx="23" formatCode="0.00">
                  <c:v>2.3474432876660316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CAB7-4E54-AEBB-4061DF891A0D}"/>
            </c:ext>
          </c:extLst>
        </c:ser>
        <c:ser>
          <c:idx val="4"/>
          <c:order val="3"/>
          <c:tx>
            <c:strRef>
              <c:f>'Compléter avc fascic acompte ok'!$A$36</c:f>
              <c:strCache>
                <c:ptCount val="1"/>
                <c:pt idx="0">
                  <c:v>SSI</c:v>
                </c:pt>
              </c:strCache>
            </c:strRef>
          </c:tx>
          <c:spPr>
            <a:ln cmpd="sng">
              <a:solidFill>
                <a:schemeClr val="accent4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/>
              </a:solidFill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AB7-4E54-AEBB-4061DF891A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AB7-4E54-AEBB-4061DF891A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AB7-4E54-AEBB-4061DF891A0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AB7-4E54-AEBB-4061DF891A0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AB7-4E54-AEBB-4061DF891A0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AB7-4E54-AEBB-4061DF891A0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AB7-4E54-AEBB-4061DF891A0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AB7-4E54-AEBB-4061DF891A0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CAB7-4E54-AEBB-4061DF891A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CAB7-4E54-AEBB-4061DF891A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CAB7-4E54-AEBB-4061DF891A0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CAB7-4E54-AEBB-4061DF891A0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CAB7-4E54-AEBB-4061DF891A0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CAB7-4E54-AEBB-4061DF891A0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CAB7-4E54-AEBB-4061DF891A0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CAB7-4E54-AEBB-4061DF891A0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CAB7-4E54-AEBB-4061DF891A0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CAB7-4E54-AEBB-4061DF891A0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CAB7-4E54-AEBB-4061DF891A0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CAB7-4E54-AEBB-4061DF891A0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CAB7-4E54-AEBB-4061DF891A0D}"/>
                </c:ext>
              </c:extLst>
            </c:dLbl>
            <c:dLbl>
              <c:idx val="23"/>
              <c:layout>
                <c:manualLayout>
                  <c:x val="-2.8332805555259855E-2"/>
                  <c:y val="-3.6606168021083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3C-4C99-B30F-DEC1E7A23BA5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accent4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'Compléter avc fascic acompte ok'!$B$32:$Y$32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ok'!$B$36:$Y$36</c:f>
              <c:numCache>
                <c:formatCode>#\ ##0.0</c:formatCode>
                <c:ptCount val="24"/>
                <c:pt idx="0">
                  <c:v>0.88661258025597467</c:v>
                </c:pt>
                <c:pt idx="1">
                  <c:v>0.89169405847897276</c:v>
                </c:pt>
                <c:pt idx="2">
                  <c:v>0.90510581166705018</c:v>
                </c:pt>
                <c:pt idx="3">
                  <c:v>0.89054788195747947</c:v>
                </c:pt>
                <c:pt idx="4">
                  <c:v>0.8693887098277906</c:v>
                </c:pt>
                <c:pt idx="5">
                  <c:v>0.85430139487569501</c:v>
                </c:pt>
                <c:pt idx="6">
                  <c:v>0.87737555419766333</c:v>
                </c:pt>
                <c:pt idx="7">
                  <c:v>0.86029896274864148</c:v>
                </c:pt>
                <c:pt idx="8">
                  <c:v>0.83071465718539006</c:v>
                </c:pt>
                <c:pt idx="9">
                  <c:v>0.84622932614238289</c:v>
                </c:pt>
                <c:pt idx="10">
                  <c:v>0.80617262264657696</c:v>
                </c:pt>
                <c:pt idx="11">
                  <c:v>0.79372767414986756</c:v>
                </c:pt>
                <c:pt idx="12" formatCode="0.00">
                  <c:v>0.84189463229749439</c:v>
                </c:pt>
                <c:pt idx="13" formatCode="0.00">
                  <c:v>0.87535167801877944</c:v>
                </c:pt>
                <c:pt idx="14" formatCode="0.00">
                  <c:v>0.93133972285772426</c:v>
                </c:pt>
                <c:pt idx="15" formatCode="0.00">
                  <c:v>0.98053229390600027</c:v>
                </c:pt>
                <c:pt idx="16" formatCode="0.00">
                  <c:v>0.91792315175097272</c:v>
                </c:pt>
                <c:pt idx="17" formatCode="0.00">
                  <c:v>0.85870292457305075</c:v>
                </c:pt>
                <c:pt idx="18" formatCode="0.00">
                  <c:v>0.80657010274767482</c:v>
                </c:pt>
                <c:pt idx="19" formatCode="0.00">
                  <c:v>0.72508592612154099</c:v>
                </c:pt>
                <c:pt idx="20" formatCode="0.00">
                  <c:v>0.67906673215527424</c:v>
                </c:pt>
                <c:pt idx="21" formatCode="0.00">
                  <c:v>0.60673276030754009</c:v>
                </c:pt>
                <c:pt idx="22" formatCode="0.00">
                  <c:v>0.54070122288908595</c:v>
                </c:pt>
                <c:pt idx="23" formatCode="0.00">
                  <c:v>0.50091951863108619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CAB7-4E54-AEBB-4061DF891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53384"/>
        <c:axId val="442555344"/>
      </c:lineChart>
      <c:catAx>
        <c:axId val="442553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442555344"/>
        <c:crosses val="autoZero"/>
        <c:auto val="1"/>
        <c:lblAlgn val="ctr"/>
        <c:lblOffset val="100"/>
        <c:noMultiLvlLbl val="0"/>
      </c:catAx>
      <c:valAx>
        <c:axId val="442555344"/>
        <c:scaling>
          <c:orientation val="minMax"/>
          <c:min val="0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fr-FR" sz="1100" b="0"/>
                  <a:t>Nombre de retraités pour </a:t>
                </a:r>
                <a:r>
                  <a:rPr lang="fr-FR" sz="1100" b="0" baseline="0"/>
                  <a:t>un </a:t>
                </a:r>
                <a:r>
                  <a:rPr lang="fr-FR" sz="1100" b="0"/>
                  <a:t>cotisant</a:t>
                </a:r>
              </a:p>
            </c:rich>
          </c:tx>
          <c:layout>
            <c:manualLayout>
              <c:xMode val="edge"/>
              <c:yMode val="edge"/>
              <c:x val="3.3214833436790749E-2"/>
              <c:y val="0.25712967964268307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442553384"/>
        <c:crosses val="autoZero"/>
        <c:crossBetween val="between"/>
        <c:majorUnit val="0.2"/>
      </c:valAx>
      <c:spPr>
        <a:gradFill>
          <a:gsLst>
            <a:gs pos="0">
              <a:schemeClr val="accent3">
                <a:lumMod val="20000"/>
                <a:lumOff val="80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982795724614072E-2"/>
          <c:y val="1.3197509997114235E-2"/>
          <c:w val="0.8899944532994265"/>
          <c:h val="0.8625603370495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'TransfertCompDemo_2 ok '!$A$3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30000"/>
                    <a:satMod val="115000"/>
                  </a:schemeClr>
                </a:gs>
                <a:gs pos="50000">
                  <a:schemeClr val="accent4">
                    <a:shade val="67500"/>
                    <a:satMod val="115000"/>
                  </a:schemeClr>
                </a:gs>
                <a:gs pos="100000">
                  <a:schemeClr val="accent4"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'!$B$3:$Y$3</c:f>
              <c:numCache>
                <c:formatCode>#,##0</c:formatCode>
                <c:ptCount val="24"/>
                <c:pt idx="0">
                  <c:v>3892931622.0615029</c:v>
                </c:pt>
                <c:pt idx="1">
                  <c:v>4162843653.4617348</c:v>
                </c:pt>
                <c:pt idx="2">
                  <c:v>4341083323.4050417</c:v>
                </c:pt>
                <c:pt idx="3">
                  <c:v>5052448584.0365019</c:v>
                </c:pt>
                <c:pt idx="4">
                  <c:v>4991023616.3020096</c:v>
                </c:pt>
                <c:pt idx="5">
                  <c:v>5032351254.5375977</c:v>
                </c:pt>
                <c:pt idx="6">
                  <c:v>4879398157.6872711</c:v>
                </c:pt>
                <c:pt idx="7">
                  <c:v>4807941841.9895058</c:v>
                </c:pt>
                <c:pt idx="8">
                  <c:v>4921168027.3786478</c:v>
                </c:pt>
                <c:pt idx="9">
                  <c:v>4817627418.5370998</c:v>
                </c:pt>
                <c:pt idx="10">
                  <c:v>4870410260.297308</c:v>
                </c:pt>
                <c:pt idx="11">
                  <c:v>4611966777</c:v>
                </c:pt>
                <c:pt idx="12">
                  <c:v>4810188236.1096458</c:v>
                </c:pt>
                <c:pt idx="13">
                  <c:v>4854208693.8917522</c:v>
                </c:pt>
                <c:pt idx="14">
                  <c:v>4897850924.9212961</c:v>
                </c:pt>
                <c:pt idx="15">
                  <c:v>4946354376</c:v>
                </c:pt>
                <c:pt idx="16">
                  <c:v>4653582841.9545803</c:v>
                </c:pt>
                <c:pt idx="17">
                  <c:v>4540954737</c:v>
                </c:pt>
                <c:pt idx="18">
                  <c:v>4589196426</c:v>
                </c:pt>
                <c:pt idx="19">
                  <c:v>4423457270</c:v>
                </c:pt>
                <c:pt idx="20">
                  <c:v>3966313109</c:v>
                </c:pt>
                <c:pt idx="21">
                  <c:v>4143123209</c:v>
                </c:pt>
                <c:pt idx="22">
                  <c:v>4097810664</c:v>
                </c:pt>
                <c:pt idx="23">
                  <c:v>4073503482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7-4388-86AE-E48DE0C5CBC6}"/>
            </c:ext>
          </c:extLst>
        </c:ser>
        <c:ser>
          <c:idx val="1"/>
          <c:order val="1"/>
          <c:tx>
            <c:strRef>
              <c:f>'TransfertCompDemo_2 ok '!$A$4</c:f>
              <c:strCache>
                <c:ptCount val="1"/>
                <c:pt idx="0">
                  <c:v>Salariés Agricoles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'!$B$4:$Y$4</c:f>
              <c:numCache>
                <c:formatCode>#,##0</c:formatCode>
                <c:ptCount val="24"/>
                <c:pt idx="0">
                  <c:v>-2175619105.2379408</c:v>
                </c:pt>
                <c:pt idx="1">
                  <c:v>-2197464472.1220412</c:v>
                </c:pt>
                <c:pt idx="2">
                  <c:v>-2244739850.1673088</c:v>
                </c:pt>
                <c:pt idx="3">
                  <c:v>-2172094743.5626774</c:v>
                </c:pt>
                <c:pt idx="4">
                  <c:v>-2185420582.014832</c:v>
                </c:pt>
                <c:pt idx="5">
                  <c:v>-2203985530.7867756</c:v>
                </c:pt>
                <c:pt idx="6">
                  <c:v>-2230463908.0503545</c:v>
                </c:pt>
                <c:pt idx="7">
                  <c:v>-2249846143.2505283</c:v>
                </c:pt>
                <c:pt idx="8">
                  <c:v>-2253775857.5862336</c:v>
                </c:pt>
                <c:pt idx="9">
                  <c:v>-2267114738.1062064</c:v>
                </c:pt>
                <c:pt idx="10">
                  <c:v>-2273984107.4291654</c:v>
                </c:pt>
                <c:pt idx="11">
                  <c:v>-2122356323</c:v>
                </c:pt>
                <c:pt idx="12">
                  <c:v>-2185424170.3407698</c:v>
                </c:pt>
                <c:pt idx="13">
                  <c:v>-2236860137.749558</c:v>
                </c:pt>
                <c:pt idx="14">
                  <c:v>-2277563749.9882131</c:v>
                </c:pt>
                <c:pt idx="15">
                  <c:v>-2287368039</c:v>
                </c:pt>
                <c:pt idx="16">
                  <c:v>-2390981881.081543</c:v>
                </c:pt>
                <c:pt idx="17">
                  <c:v>-2517910464</c:v>
                </c:pt>
                <c:pt idx="18">
                  <c:v>-2559937924</c:v>
                </c:pt>
                <c:pt idx="19">
                  <c:v>-2560352419</c:v>
                </c:pt>
                <c:pt idx="20">
                  <c:v>-2541185583</c:v>
                </c:pt>
                <c:pt idx="21">
                  <c:v>-2488617245</c:v>
                </c:pt>
                <c:pt idx="22">
                  <c:v>-2548294773</c:v>
                </c:pt>
                <c:pt idx="23">
                  <c:v>-2519039080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7-4388-86AE-E48DE0C5CBC6}"/>
            </c:ext>
          </c:extLst>
        </c:ser>
        <c:ser>
          <c:idx val="2"/>
          <c:order val="2"/>
          <c:tx>
            <c:strRef>
              <c:f>'TransfertCompDemo_2 ok '!$A$7</c:f>
              <c:strCache>
                <c:ptCount val="1"/>
                <c:pt idx="0">
                  <c:v>Non-salariés agricoles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'!$B$7:$Y$7</c:f>
              <c:numCache>
                <c:formatCode>#,##0</c:formatCode>
                <c:ptCount val="24"/>
                <c:pt idx="0">
                  <c:v>-4047585071.6360359</c:v>
                </c:pt>
                <c:pt idx="1">
                  <c:v>-4134512816.0203333</c:v>
                </c:pt>
                <c:pt idx="2">
                  <c:v>-4228606593.4303503</c:v>
                </c:pt>
                <c:pt idx="3">
                  <c:v>-4257378185.5956631</c:v>
                </c:pt>
                <c:pt idx="4">
                  <c:v>-4276624302.1397948</c:v>
                </c:pt>
                <c:pt idx="5">
                  <c:v>-4273968102.1732864</c:v>
                </c:pt>
                <c:pt idx="6">
                  <c:v>-4235634818.6205616</c:v>
                </c:pt>
                <c:pt idx="7">
                  <c:v>-4185322872.52742</c:v>
                </c:pt>
                <c:pt idx="8">
                  <c:v>-4108617574.8104672</c:v>
                </c:pt>
                <c:pt idx="9">
                  <c:v>-3998950607.1369648</c:v>
                </c:pt>
                <c:pt idx="10">
                  <c:v>-3908297890.1973386</c:v>
                </c:pt>
                <c:pt idx="11">
                  <c:v>-3783156056</c:v>
                </c:pt>
                <c:pt idx="12">
                  <c:v>-3723321495.6660671</c:v>
                </c:pt>
                <c:pt idx="13">
                  <c:v>-3623241166.0936337</c:v>
                </c:pt>
                <c:pt idx="14">
                  <c:v>-3486504285.2198143</c:v>
                </c:pt>
                <c:pt idx="15">
                  <c:v>-3346396139</c:v>
                </c:pt>
                <c:pt idx="16">
                  <c:v>-3178683134.616437</c:v>
                </c:pt>
                <c:pt idx="17">
                  <c:v>-3062478389</c:v>
                </c:pt>
                <c:pt idx="18">
                  <c:v>-2961193745</c:v>
                </c:pt>
                <c:pt idx="19">
                  <c:v>-2857653153</c:v>
                </c:pt>
                <c:pt idx="20">
                  <c:v>-2756962754</c:v>
                </c:pt>
                <c:pt idx="21">
                  <c:v>-2668168252</c:v>
                </c:pt>
                <c:pt idx="22">
                  <c:v>-2637253354</c:v>
                </c:pt>
                <c:pt idx="23">
                  <c:v>-2608184086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7-4388-86AE-E48DE0C5CBC6}"/>
            </c:ext>
          </c:extLst>
        </c:ser>
        <c:ser>
          <c:idx val="3"/>
          <c:order val="3"/>
          <c:tx>
            <c:strRef>
              <c:f>'TransfertCompDemo_2 ok '!$A$8</c:f>
              <c:strCache>
                <c:ptCount val="1"/>
                <c:pt idx="0">
                  <c:v>Régime des indépendants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  <a:shade val="30000"/>
                    <a:satMod val="115000"/>
                  </a:schemeClr>
                </a:gs>
                <a:gs pos="50000">
                  <a:schemeClr val="accent5">
                    <a:lumMod val="75000"/>
                    <a:shade val="67500"/>
                    <a:satMod val="115000"/>
                  </a:schemeClr>
                </a:gs>
                <a:gs pos="100000">
                  <a:schemeClr val="accent5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'!$B$8:$Y$8</c:f>
              <c:numCache>
                <c:formatCode>#,##0</c:formatCode>
                <c:ptCount val="24"/>
                <c:pt idx="0">
                  <c:v>-745455224.31024122</c:v>
                </c:pt>
                <c:pt idx="1">
                  <c:v>-772654727.47826457</c:v>
                </c:pt>
                <c:pt idx="2">
                  <c:v>-834864310.54237318</c:v>
                </c:pt>
                <c:pt idx="3">
                  <c:v>-915993445.8580184</c:v>
                </c:pt>
                <c:pt idx="4">
                  <c:v>-897925772.12219739</c:v>
                </c:pt>
                <c:pt idx="5">
                  <c:v>-885547423.55952287</c:v>
                </c:pt>
                <c:pt idx="6">
                  <c:v>-935743171.72033596</c:v>
                </c:pt>
                <c:pt idx="7">
                  <c:v>-919364515.69852591</c:v>
                </c:pt>
                <c:pt idx="8">
                  <c:v>-892663198.70834851</c:v>
                </c:pt>
                <c:pt idx="9">
                  <c:v>-932736005.36877275</c:v>
                </c:pt>
                <c:pt idx="10">
                  <c:v>-910524539.11882448</c:v>
                </c:pt>
                <c:pt idx="11">
                  <c:v>-879776586</c:v>
                </c:pt>
                <c:pt idx="12">
                  <c:v>-971984072.6899488</c:v>
                </c:pt>
                <c:pt idx="13">
                  <c:v>-1039833657.9148853</c:v>
                </c:pt>
                <c:pt idx="14">
                  <c:v>-1123067502.30509</c:v>
                </c:pt>
                <c:pt idx="15">
                  <c:v>-1223046459</c:v>
                </c:pt>
                <c:pt idx="16">
                  <c:v>-1131003394.8393908</c:v>
                </c:pt>
                <c:pt idx="17">
                  <c:v>-1450827625</c:v>
                </c:pt>
                <c:pt idx="18">
                  <c:v>-1202212774</c:v>
                </c:pt>
                <c:pt idx="19">
                  <c:v>-826432132</c:v>
                </c:pt>
                <c:pt idx="20">
                  <c:v>-467721470</c:v>
                </c:pt>
                <c:pt idx="21">
                  <c:v>-112254570</c:v>
                </c:pt>
                <c:pt idx="22">
                  <c:v>433867017</c:v>
                </c:pt>
                <c:pt idx="23">
                  <c:v>845636432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7-4388-86AE-E48DE0C5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2553776"/>
        <c:axId val="443367400"/>
      </c:barChart>
      <c:catAx>
        <c:axId val="44255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367400"/>
        <c:crosses val="autoZero"/>
        <c:auto val="1"/>
        <c:lblAlgn val="ctr"/>
        <c:lblOffset val="100"/>
        <c:noMultiLvlLbl val="0"/>
      </c:catAx>
      <c:valAx>
        <c:axId val="443367400"/>
        <c:scaling>
          <c:orientation val="minMax"/>
          <c:min val="-45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53776"/>
        <c:crosses val="autoZero"/>
        <c:crossBetween val="between"/>
        <c:majorUnit val="1500000000"/>
        <c:dispUnits>
          <c:builtInUnit val="millions"/>
          <c:dispUnitsLbl>
            <c:layout>
              <c:manualLayout>
                <c:xMode val="edge"/>
                <c:yMode val="edge"/>
                <c:x val="8.2004552866946964E-3"/>
                <c:y val="0.373916147916065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200"/>
                    <a:t>Montants en millions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'TransfertCompDemo_2 ok '!$A$3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pattFill prst="pct75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'!$B$3:$Y$3</c:f>
              <c:numCache>
                <c:formatCode>#,##0</c:formatCode>
                <c:ptCount val="24"/>
                <c:pt idx="0">
                  <c:v>3892931622.0615029</c:v>
                </c:pt>
                <c:pt idx="1">
                  <c:v>4162843653.4617348</c:v>
                </c:pt>
                <c:pt idx="2">
                  <c:v>4341083323.4050417</c:v>
                </c:pt>
                <c:pt idx="3">
                  <c:v>5052448584.0365019</c:v>
                </c:pt>
                <c:pt idx="4">
                  <c:v>4991023616.3020096</c:v>
                </c:pt>
                <c:pt idx="5">
                  <c:v>5032351254.5375977</c:v>
                </c:pt>
                <c:pt idx="6">
                  <c:v>4879398157.6872711</c:v>
                </c:pt>
                <c:pt idx="7">
                  <c:v>4807941841.9895058</c:v>
                </c:pt>
                <c:pt idx="8">
                  <c:v>4921168027.3786478</c:v>
                </c:pt>
                <c:pt idx="9">
                  <c:v>4817627418.5370998</c:v>
                </c:pt>
                <c:pt idx="10">
                  <c:v>4870410260.297308</c:v>
                </c:pt>
                <c:pt idx="11">
                  <c:v>4611966777</c:v>
                </c:pt>
                <c:pt idx="12">
                  <c:v>4810188236.1096458</c:v>
                </c:pt>
                <c:pt idx="13">
                  <c:v>4854208693.8917522</c:v>
                </c:pt>
                <c:pt idx="14">
                  <c:v>4897850924.9212961</c:v>
                </c:pt>
                <c:pt idx="15">
                  <c:v>4946354376</c:v>
                </c:pt>
                <c:pt idx="16">
                  <c:v>4653582841.9545803</c:v>
                </c:pt>
                <c:pt idx="17">
                  <c:v>4540954737</c:v>
                </c:pt>
                <c:pt idx="18">
                  <c:v>4589196426</c:v>
                </c:pt>
                <c:pt idx="19">
                  <c:v>4423457270</c:v>
                </c:pt>
                <c:pt idx="20">
                  <c:v>3966313109</c:v>
                </c:pt>
                <c:pt idx="21">
                  <c:v>4143123209</c:v>
                </c:pt>
                <c:pt idx="22">
                  <c:v>4097810664</c:v>
                </c:pt>
                <c:pt idx="23">
                  <c:v>4073503482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F-4DB1-A913-AFCF21AA3B79}"/>
            </c:ext>
          </c:extLst>
        </c:ser>
        <c:ser>
          <c:idx val="1"/>
          <c:order val="1"/>
          <c:tx>
            <c:strRef>
              <c:f>'TransfertCompDemo_2 ok '!$A$4</c:f>
              <c:strCache>
                <c:ptCount val="1"/>
                <c:pt idx="0">
                  <c:v>Salariés Agricoles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'!$B$4:$Y$4</c:f>
              <c:numCache>
                <c:formatCode>#,##0</c:formatCode>
                <c:ptCount val="24"/>
                <c:pt idx="0">
                  <c:v>-2175619105.2379408</c:v>
                </c:pt>
                <c:pt idx="1">
                  <c:v>-2197464472.1220412</c:v>
                </c:pt>
                <c:pt idx="2">
                  <c:v>-2244739850.1673088</c:v>
                </c:pt>
                <c:pt idx="3">
                  <c:v>-2172094743.5626774</c:v>
                </c:pt>
                <c:pt idx="4">
                  <c:v>-2185420582.014832</c:v>
                </c:pt>
                <c:pt idx="5">
                  <c:v>-2203985530.7867756</c:v>
                </c:pt>
                <c:pt idx="6">
                  <c:v>-2230463908.0503545</c:v>
                </c:pt>
                <c:pt idx="7">
                  <c:v>-2249846143.2505283</c:v>
                </c:pt>
                <c:pt idx="8">
                  <c:v>-2253775857.5862336</c:v>
                </c:pt>
                <c:pt idx="9">
                  <c:v>-2267114738.1062064</c:v>
                </c:pt>
                <c:pt idx="10">
                  <c:v>-2273984107.4291654</c:v>
                </c:pt>
                <c:pt idx="11">
                  <c:v>-2122356323</c:v>
                </c:pt>
                <c:pt idx="12">
                  <c:v>-2185424170.3407698</c:v>
                </c:pt>
                <c:pt idx="13">
                  <c:v>-2236860137.749558</c:v>
                </c:pt>
                <c:pt idx="14">
                  <c:v>-2277563749.9882131</c:v>
                </c:pt>
                <c:pt idx="15">
                  <c:v>-2287368039</c:v>
                </c:pt>
                <c:pt idx="16">
                  <c:v>-2390981881.081543</c:v>
                </c:pt>
                <c:pt idx="17">
                  <c:v>-2517910464</c:v>
                </c:pt>
                <c:pt idx="18">
                  <c:v>-2559937924</c:v>
                </c:pt>
                <c:pt idx="19">
                  <c:v>-2560352419</c:v>
                </c:pt>
                <c:pt idx="20">
                  <c:v>-2541185583</c:v>
                </c:pt>
                <c:pt idx="21">
                  <c:v>-2488617245</c:v>
                </c:pt>
                <c:pt idx="22">
                  <c:v>-2548294773</c:v>
                </c:pt>
                <c:pt idx="23">
                  <c:v>-2519039080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F-4DB1-A913-AFCF21AA3B79}"/>
            </c:ext>
          </c:extLst>
        </c:ser>
        <c:ser>
          <c:idx val="2"/>
          <c:order val="2"/>
          <c:tx>
            <c:strRef>
              <c:f>'TransfertCompDemo_2 ok '!$A$7</c:f>
              <c:strCache>
                <c:ptCount val="1"/>
                <c:pt idx="0">
                  <c:v>Non-salariés agricoles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'TransfertCompDemo_2 ok 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'TransfertCompDemo_2 ok '!$B$7:$Y$7</c:f>
              <c:numCache>
                <c:formatCode>#,##0</c:formatCode>
                <c:ptCount val="24"/>
                <c:pt idx="0">
                  <c:v>-4047585071.6360359</c:v>
                </c:pt>
                <c:pt idx="1">
                  <c:v>-4134512816.0203333</c:v>
                </c:pt>
                <c:pt idx="2">
                  <c:v>-4228606593.4303503</c:v>
                </c:pt>
                <c:pt idx="3">
                  <c:v>-4257378185.5956631</c:v>
                </c:pt>
                <c:pt idx="4">
                  <c:v>-4276624302.1397948</c:v>
                </c:pt>
                <c:pt idx="5">
                  <c:v>-4273968102.1732864</c:v>
                </c:pt>
                <c:pt idx="6">
                  <c:v>-4235634818.6205616</c:v>
                </c:pt>
                <c:pt idx="7">
                  <c:v>-4185322872.52742</c:v>
                </c:pt>
                <c:pt idx="8">
                  <c:v>-4108617574.8104672</c:v>
                </c:pt>
                <c:pt idx="9">
                  <c:v>-3998950607.1369648</c:v>
                </c:pt>
                <c:pt idx="10">
                  <c:v>-3908297890.1973386</c:v>
                </c:pt>
                <c:pt idx="11">
                  <c:v>-3783156056</c:v>
                </c:pt>
                <c:pt idx="12">
                  <c:v>-3723321495.6660671</c:v>
                </c:pt>
                <c:pt idx="13">
                  <c:v>-3623241166.0936337</c:v>
                </c:pt>
                <c:pt idx="14">
                  <c:v>-3486504285.2198143</c:v>
                </c:pt>
                <c:pt idx="15">
                  <c:v>-3346396139</c:v>
                </c:pt>
                <c:pt idx="16">
                  <c:v>-3178683134.616437</c:v>
                </c:pt>
                <c:pt idx="17">
                  <c:v>-3062478389</c:v>
                </c:pt>
                <c:pt idx="18">
                  <c:v>-2961193745</c:v>
                </c:pt>
                <c:pt idx="19">
                  <c:v>-2857653153</c:v>
                </c:pt>
                <c:pt idx="20">
                  <c:v>-2756962754</c:v>
                </c:pt>
                <c:pt idx="21">
                  <c:v>-2668168252</c:v>
                </c:pt>
                <c:pt idx="22">
                  <c:v>-2637253354</c:v>
                </c:pt>
                <c:pt idx="23">
                  <c:v>-2608184086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F-4DB1-A913-AFCF21AA3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67792"/>
        <c:axId val="443368968"/>
      </c:barChart>
      <c:catAx>
        <c:axId val="44336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100"/>
            </a:pPr>
            <a:endParaRPr lang="fr-FR"/>
          </a:p>
        </c:txPr>
        <c:crossAx val="443368968"/>
        <c:crosses val="autoZero"/>
        <c:auto val="1"/>
        <c:lblAlgn val="ctr"/>
        <c:lblOffset val="100"/>
        <c:noMultiLvlLbl val="0"/>
      </c:catAx>
      <c:valAx>
        <c:axId val="443368968"/>
        <c:scaling>
          <c:orientation val="minMax"/>
          <c:min val="-450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43367792"/>
        <c:crosses val="autoZero"/>
        <c:crossBetween val="between"/>
        <c:majorUnit val="1500000000"/>
        <c:dispUnits>
          <c:builtInUnit val="millions"/>
          <c:dispUnitsLbl>
            <c:layout>
              <c:manualLayout>
                <c:xMode val="edge"/>
                <c:yMode val="edge"/>
                <c:x val="1.7755015415461445E-2"/>
                <c:y val="0.367152889066163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fr-FR"/>
                    <a:t>Montants en millions d'euros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3.0278190221936416E-3"/>
          <c:y val="0.9675318464773055"/>
          <c:w val="0.99531110450339522"/>
          <c:h val="3.0373912684998141E-2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51298658321573"/>
          <c:y val="0.13160984458094571"/>
          <c:w val="0.51090558316483115"/>
          <c:h val="0.782853609267427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02-483A-BD2E-315BD7FFD563}"/>
              </c:ext>
            </c:extLst>
          </c:dPt>
          <c:dPt>
            <c:idx val="1"/>
            <c:bubble3D val="0"/>
            <c:spPr>
              <a:solidFill>
                <a:schemeClr val="accent6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02-483A-BD2E-315BD7FFD563}"/>
              </c:ext>
            </c:extLst>
          </c:dPt>
          <c:dPt>
            <c:idx val="2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02-483A-BD2E-315BD7FFD5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02-483A-BD2E-315BD7FFD563}"/>
              </c:ext>
            </c:extLst>
          </c:dPt>
          <c:dPt>
            <c:idx val="4"/>
            <c:bubble3D val="0"/>
            <c:spPr>
              <a:solidFill>
                <a:schemeClr val="accent6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02-483A-BD2E-315BD7FFD563}"/>
              </c:ext>
            </c:extLst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02-483A-BD2E-315BD7FFD563}"/>
              </c:ext>
            </c:extLst>
          </c:dPt>
          <c:dPt>
            <c:idx val="6"/>
            <c:bubble3D val="0"/>
            <c:spPr>
              <a:solidFill>
                <a:schemeClr val="accent6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02-483A-BD2E-315BD7FFD563}"/>
              </c:ext>
            </c:extLst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02-483A-BD2E-315BD7FFD563}"/>
              </c:ext>
            </c:extLst>
          </c:dPt>
          <c:dLbls>
            <c:dLbl>
              <c:idx val="0"/>
              <c:layout>
                <c:manualLayout>
                  <c:x val="-0.1928416697633609"/>
                  <c:y val="0.186906707342210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5A7F5-440A-42E3-A7F7-A12356A5C8D6}" type="CATEGORYNAME">
                      <a:rPr lang="en-US" sz="1600"/>
                      <a:pPr>
                        <a:defRPr sz="1600" b="1">
                          <a:solidFill>
                            <a:schemeClr val="bg1"/>
                          </a:solidFill>
                        </a:defRPr>
                      </a:pPr>
                      <a:t>[NOM DE CATÉGORIE]</a:t>
                    </a:fld>
                    <a:r>
                      <a:rPr lang="en-US" sz="1600" baseline="0"/>
                      <a:t>
66,2 %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102-483A-BD2E-315BD7FFD563}"/>
                </c:ext>
              </c:extLst>
            </c:dLbl>
            <c:dLbl>
              <c:idx val="1"/>
              <c:layout>
                <c:manualLayout>
                  <c:x val="0.10983552060568864"/>
                  <c:y val="-5.6460155831306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D8A045-9CC2-4F13-809E-D244D3E0CDB2}" type="CATEGORYNAME">
                      <a:rPr lang="en-US" sz="1600">
                        <a:solidFill>
                          <a:schemeClr val="tx1"/>
                        </a:solidFill>
                      </a:rPr>
                      <a:pPr>
                        <a:defRPr sz="1600" b="1"/>
                      </a:pPr>
                      <a:t>[NOM DE CATÉGORIE]</a:t>
                    </a:fld>
                    <a:r>
                      <a:rPr lang="en-US" sz="1600" baseline="0">
                        <a:solidFill>
                          <a:schemeClr val="tx1"/>
                        </a:solidFill>
                      </a:rPr>
                      <a:t>
10,0 %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42226371953925"/>
                      <c:h val="0.203903368099929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102-483A-BD2E-315BD7FFD563}"/>
                </c:ext>
              </c:extLst>
            </c:dLbl>
            <c:dLbl>
              <c:idx val="2"/>
              <c:layout>
                <c:manualLayout>
                  <c:x val="1.0076004207663823E-2"/>
                  <c:y val="5.1709240402163986E-2"/>
                </c:manualLayout>
              </c:layout>
              <c:tx>
                <c:rich>
                  <a:bodyPr/>
                  <a:lstStyle/>
                  <a:p>
                    <a:fld id="{BF40D347-B3E8-443C-ABBF-1ECDE33BC9C2}" type="CATEGORYNAME">
                      <a:rPr lang="en-US" sz="1600">
                        <a:solidFill>
                          <a:schemeClr val="tx1"/>
                        </a:solidFill>
                      </a:rPr>
                      <a:pPr/>
                      <a:t>[NOM DE CATÉGORIE]</a:t>
                    </a:fld>
                    <a:r>
                      <a:rPr lang="en-US" sz="1600" baseline="0">
                        <a:solidFill>
                          <a:schemeClr val="tx1"/>
                        </a:solidFill>
                      </a:rPr>
                      <a:t>
6,3 %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102-483A-BD2E-315BD7FFD563}"/>
                </c:ext>
              </c:extLst>
            </c:dLbl>
            <c:dLbl>
              <c:idx val="3"/>
              <c:layout>
                <c:manualLayout>
                  <c:x val="0.10805466582768046"/>
                  <c:y val="-5.91829162715917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39BE423-BDA2-44DF-A916-AC96C7383051}" type="CATEGORYNAME">
                      <a:rPr lang="en-US" sz="1600">
                        <a:solidFill>
                          <a:schemeClr val="bg1"/>
                        </a:solidFill>
                      </a:rPr>
                      <a:pPr>
                        <a:defRPr sz="1600" b="1">
                          <a:solidFill>
                            <a:schemeClr val="bg1"/>
                          </a:solidFill>
                        </a:defRPr>
                      </a:pPr>
                      <a:t>[NOM DE CATÉGORIE]</a:t>
                    </a:fld>
                    <a:r>
                      <a:rPr lang="en-US" sz="1600" baseline="0">
                        <a:solidFill>
                          <a:schemeClr val="bg1"/>
                        </a:solidFill>
                      </a:rPr>
                      <a:t>
13,7 %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102-483A-BD2E-315BD7FFD563}"/>
                </c:ext>
              </c:extLst>
            </c:dLbl>
            <c:dLbl>
              <c:idx val="4"/>
              <c:layout>
                <c:manualLayout>
                  <c:x val="-4.4562383820926095E-2"/>
                  <c:y val="0.18294165452778702"/>
                </c:manualLayout>
              </c:layout>
              <c:tx>
                <c:rich>
                  <a:bodyPr/>
                  <a:lstStyle/>
                  <a:p>
                    <a:fld id="{C4A0D9B3-0646-402B-A7C9-04CC2302BA47}" type="CATEGORYNAME">
                      <a:rPr lang="en-US" sz="1600"/>
                      <a:pPr/>
                      <a:t>[NOM DE CATÉGORIE]</a:t>
                    </a:fld>
                    <a:r>
                      <a:rPr lang="en-US" sz="1600" baseline="0"/>
                      <a:t>
1,4%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102-483A-BD2E-315BD7FFD563}"/>
                </c:ext>
              </c:extLst>
            </c:dLbl>
            <c:dLbl>
              <c:idx val="5"/>
              <c:layout>
                <c:manualLayout>
                  <c:x val="-2.6601365146460641E-2"/>
                  <c:y val="2.71418160795531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F0ACDA5-3552-40CD-AD05-AC60B16357E1}" type="CATEGORYNAME">
                      <a:rPr lang="en-US" sz="1600">
                        <a:solidFill>
                          <a:sysClr val="windowText" lastClr="000000"/>
                        </a:solidFill>
                      </a:rPr>
                      <a:pPr>
                        <a:defRPr sz="1600" b="1">
                          <a:solidFill>
                            <a:sysClr val="windowText" lastClr="000000"/>
                          </a:solidFill>
                        </a:defRPr>
                      </a:pPr>
                      <a:t>[NOM DE CATÉGORIE]</a:t>
                    </a:fld>
                    <a:r>
                      <a:rPr lang="en-US" sz="1600" baseline="0">
                        <a:solidFill>
                          <a:sysClr val="windowText" lastClr="000000"/>
                        </a:solidFill>
                      </a:rPr>
                      <a:t>
0,4 %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102-483A-BD2E-315BD7FFD56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D958969-A18A-4B96-8DC9-F7000C7F6106}" type="CATEGORYNAME">
                      <a:rPr lang="en-US" sz="1600"/>
                      <a:pPr/>
                      <a:t>[NOM DE CATÉGORIE]</a:t>
                    </a:fld>
                    <a:r>
                      <a:rPr lang="en-US" sz="1600" baseline="0"/>
                      <a:t>
1,7 %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2102-483A-BD2E-315BD7FFD563}"/>
                </c:ext>
              </c:extLst>
            </c:dLbl>
            <c:dLbl>
              <c:idx val="7"/>
              <c:layout>
                <c:manualLayout>
                  <c:x val="8.9394467623205409E-2"/>
                  <c:y val="-0.143315709254888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C6B3AA-0541-4245-B0AA-25B0309BA311}" type="CATEGORYNAME">
                      <a:rPr lang="en-US" sz="1600"/>
                      <a:pPr>
                        <a:defRPr sz="1600" b="1"/>
                      </a:pPr>
                      <a:t>[NOM DE CATÉGORIE]</a:t>
                    </a:fld>
                    <a:r>
                      <a:rPr lang="en-US" sz="1600" baseline="0"/>
                      <a:t>
0,3 %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30430545695113"/>
                      <c:h val="9.420209576131556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102-483A-BD2E-315BD7FFD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'DonnéesGraph9&amp;10 ok'!$A$2:$A$9</c:f>
              <c:strCache>
                <c:ptCount val="8"/>
                <c:pt idx="0">
                  <c:v>Régime Général</c:v>
                </c:pt>
                <c:pt idx="1">
                  <c:v>CNR des Agents des Collectivités Locales</c:v>
                </c:pt>
                <c:pt idx="2">
                  <c:v>CNAV des Professions Libérales</c:v>
                </c:pt>
                <c:pt idx="3">
                  <c:v>SSI</c:v>
                </c:pt>
                <c:pt idx="4">
                  <c:v>Fonctionnaires militaires</c:v>
                </c:pt>
                <c:pt idx="5">
                  <c:v>CNIEG (ex EDF-GDF)</c:v>
                </c:pt>
                <c:pt idx="6">
                  <c:v>CN des Barreaux Français </c:v>
                </c:pt>
                <c:pt idx="7">
                  <c:v>RATP</c:v>
                </c:pt>
              </c:strCache>
            </c:strRef>
          </c:cat>
          <c:val>
            <c:numRef>
              <c:f>'DonnéesGraph9&amp;10 ok'!$C$2:$C$9</c:f>
              <c:numCache>
                <c:formatCode>0.0%</c:formatCode>
                <c:ptCount val="8"/>
                <c:pt idx="0">
                  <c:v>0.66170409143335018</c:v>
                </c:pt>
                <c:pt idx="1">
                  <c:v>0.10044884210281184</c:v>
                </c:pt>
                <c:pt idx="2">
                  <c:v>6.2786366962624254E-2</c:v>
                </c:pt>
                <c:pt idx="3">
                  <c:v>0.13736605096622329</c:v>
                </c:pt>
                <c:pt idx="4">
                  <c:v>1.3873206597450068E-2</c:v>
                </c:pt>
                <c:pt idx="5">
                  <c:v>3.5198711120113667E-3</c:v>
                </c:pt>
                <c:pt idx="6">
                  <c:v>1.6849115826339522E-2</c:v>
                </c:pt>
                <c:pt idx="7">
                  <c:v>3.452454999189549E-3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102-483A-BD2E-315BD7FFD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68478375388647"/>
          <c:y val="0.1441752896071237"/>
          <c:w val="0.51090558316483115"/>
          <c:h val="0.782853609267427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lin ang="27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40-458C-B6EC-AC7109D3ED2F}"/>
              </c:ext>
            </c:extLst>
          </c:dPt>
          <c:dPt>
            <c:idx val="1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40-458C-B6EC-AC7109D3ED2F}"/>
              </c:ext>
            </c:extLst>
          </c:dPt>
          <c:dPt>
            <c:idx val="2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40-458C-B6EC-AC7109D3ED2F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40-458C-B6EC-AC7109D3ED2F}"/>
              </c:ext>
            </c:extLst>
          </c:dPt>
          <c:dPt>
            <c:idx val="4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40-458C-B6EC-AC7109D3ED2F}"/>
              </c:ext>
            </c:extLst>
          </c:dPt>
          <c:dPt>
            <c:idx val="5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40-458C-B6EC-AC7109D3ED2F}"/>
              </c:ext>
            </c:extLst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40-458C-B6EC-AC7109D3ED2F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40-458C-B6EC-AC7109D3ED2F}"/>
              </c:ext>
            </c:extLst>
          </c:dPt>
          <c:dLbls>
            <c:dLbl>
              <c:idx val="0"/>
              <c:layout>
                <c:manualLayout>
                  <c:x val="2.8570622977395807E-2"/>
                  <c:y val="0.155493094776765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95A7F5-440A-42E3-A7F7-A12356A5C8D6}" type="CATEGORYNAME">
                      <a:rPr lang="en-US" sz="1400" b="1">
                        <a:solidFill>
                          <a:schemeClr val="bg1"/>
                        </a:solidFill>
                      </a:rPr>
                      <a:pPr>
                        <a:defRPr sz="1400" b="1">
                          <a:solidFill>
                            <a:schemeClr val="bg1"/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>
                        <a:solidFill>
                          <a:schemeClr val="bg1"/>
                        </a:solidFill>
                      </a:rPr>
                      <a:t>
68,1 %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40-458C-B6EC-AC7109D3ED2F}"/>
                </c:ext>
              </c:extLst>
            </c:dLbl>
            <c:dLbl>
              <c:idx val="1"/>
              <c:layout>
                <c:manualLayout>
                  <c:x val="-4.9708534080371135E-3"/>
                  <c:y val="1.64002968215360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7D8A045-9CC2-4F13-809E-D244D3E0CDB2}" type="CATEGORYNAME">
                      <a:rPr lang="en-US" sz="1400" b="1">
                        <a:solidFill>
                          <a:schemeClr val="bg1"/>
                        </a:solidFill>
                      </a:rPr>
                      <a:pPr>
                        <a:defRPr sz="1400" b="1">
                          <a:solidFill>
                            <a:schemeClr val="bg1"/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>
                        <a:solidFill>
                          <a:schemeClr val="bg1"/>
                        </a:solidFill>
                      </a:rPr>
                      <a:t>
13,1 %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75032965123318"/>
                      <c:h val="0.174752622829302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40-458C-B6EC-AC7109D3ED2F}"/>
                </c:ext>
              </c:extLst>
            </c:dLbl>
            <c:dLbl>
              <c:idx val="2"/>
              <c:layout>
                <c:manualLayout>
                  <c:x val="-0.14163240931851526"/>
                  <c:y val="8.31228923609679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F40D347-B3E8-443C-ABBF-1ECDE33BC9C2}" type="CATEGORYNAME">
                      <a:rPr lang="en-US" sz="1400" b="1">
                        <a:solidFill>
                          <a:schemeClr val="tx2"/>
                        </a:solidFill>
                      </a:rPr>
                      <a:pPr>
                        <a:defRPr sz="1400" b="1">
                          <a:solidFill>
                            <a:schemeClr val="tx2"/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>
                        <a:solidFill>
                          <a:schemeClr val="tx2"/>
                        </a:solidFill>
                      </a:rPr>
                      <a:t>
7,4 %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40-458C-B6EC-AC7109D3ED2F}"/>
                </c:ext>
              </c:extLst>
            </c:dLbl>
            <c:dLbl>
              <c:idx val="3"/>
              <c:layout>
                <c:manualLayout>
                  <c:x val="-1.2847379949155525E-3"/>
                  <c:y val="-1.7298099517665004E-3"/>
                </c:manualLayout>
              </c:layout>
              <c:tx>
                <c:rich>
                  <a:bodyPr/>
                  <a:lstStyle/>
                  <a:p>
                    <a:fld id="{E39BE423-BDA2-44DF-A916-AC96C7383051}" type="CATEGORYNAME">
                      <a:rPr lang="en-US" sz="1400" b="1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pPr/>
                      <a:t>[NOM DE CATÉGORIE]</a:t>
                    </a:fld>
                    <a:r>
                      <a:rPr lang="en-US" sz="1400" b="1" baseline="0">
                        <a:solidFill>
                          <a:schemeClr val="accent5">
                            <a:lumMod val="50000"/>
                          </a:schemeClr>
                        </a:solidFill>
                      </a:rPr>
                      <a:t>
7,2 %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40-458C-B6EC-AC7109D3ED2F}"/>
                </c:ext>
              </c:extLst>
            </c:dLbl>
            <c:dLbl>
              <c:idx val="4"/>
              <c:layout>
                <c:manualLayout>
                  <c:x val="-0.22702250185559514"/>
                  <c:y val="7.025435956631066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4A0D9B3-0646-402B-A7C9-04CC2302BA47}" type="CATEGORYNAME">
                      <a:rPr lang="en-US" sz="140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400" b="1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1,7%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97175330576818"/>
                      <c:h val="0.117842931937172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E40-458C-B6EC-AC7109D3ED2F}"/>
                </c:ext>
              </c:extLst>
            </c:dLbl>
            <c:dLbl>
              <c:idx val="5"/>
              <c:layout>
                <c:manualLayout>
                  <c:x val="-0.20564460367533213"/>
                  <c:y val="-7.54759450880158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F0ACDA5-3552-40CD-AD05-AC60B16357E1}" type="CATEGORYNAME">
                      <a:rPr lang="en-US" sz="1400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400" b="1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0,4 %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E40-458C-B6EC-AC7109D3ED2F}"/>
                </c:ext>
              </c:extLst>
            </c:dLbl>
            <c:dLbl>
              <c:idx val="6"/>
              <c:layout>
                <c:manualLayout>
                  <c:x val="-0.1940774417851078"/>
                  <c:y val="-0.188481675392670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D958969-A18A-4B96-8DC9-F7000C7F6106}" type="CATEGORYNAME">
                      <a:rPr lang="en-US" sz="140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400" b="1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1,7 %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9936173123019"/>
                      <c:h val="0.10108900523560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E40-458C-B6EC-AC7109D3ED2F}"/>
                </c:ext>
              </c:extLst>
            </c:dLbl>
            <c:dLbl>
              <c:idx val="7"/>
              <c:layout>
                <c:manualLayout>
                  <c:x val="-0.12518414703480901"/>
                  <c:y val="-0.28153555674650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5C6B3AA-0541-4245-B0AA-25B0309BA311}" type="CATEGORYNAME">
                      <a:rPr lang="en-US" sz="1400" b="1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400" b="1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[NOM DE CATÉGORIE]</a:t>
                    </a:fld>
                    <a:r>
                      <a:rPr lang="en-US" sz="14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0,4 %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30430545695113"/>
                      <c:h val="9.420209576131556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E40-458C-B6EC-AC7109D3ED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'DonnéesGraph9&amp;10 ok'!$A$2:$A$9</c:f>
              <c:strCache>
                <c:ptCount val="8"/>
                <c:pt idx="0">
                  <c:v>Régime Général</c:v>
                </c:pt>
                <c:pt idx="1">
                  <c:v>CNR des Agents des Collectivités Locales</c:v>
                </c:pt>
                <c:pt idx="2">
                  <c:v>CNAV des Professions Libérales</c:v>
                </c:pt>
                <c:pt idx="3">
                  <c:v>SSI</c:v>
                </c:pt>
                <c:pt idx="4">
                  <c:v>Fonctionnaires militaires</c:v>
                </c:pt>
                <c:pt idx="5">
                  <c:v>CNIEG (ex EDF-GDF)</c:v>
                </c:pt>
                <c:pt idx="6">
                  <c:v>CN des Barreaux Français </c:v>
                </c:pt>
                <c:pt idx="7">
                  <c:v>RATP</c:v>
                </c:pt>
              </c:strCache>
            </c:strRef>
          </c:cat>
          <c:val>
            <c:numRef>
              <c:f>'DonnéesGraph9&amp;10 ok'!$C$2:$C$9</c:f>
              <c:numCache>
                <c:formatCode>0.0%</c:formatCode>
                <c:ptCount val="8"/>
                <c:pt idx="0">
                  <c:v>0.66170409143335018</c:v>
                </c:pt>
                <c:pt idx="1">
                  <c:v>0.10044884210281184</c:v>
                </c:pt>
                <c:pt idx="2">
                  <c:v>6.2786366962624254E-2</c:v>
                </c:pt>
                <c:pt idx="3">
                  <c:v>0.13736605096622329</c:v>
                </c:pt>
                <c:pt idx="4">
                  <c:v>1.3873206597450068E-2</c:v>
                </c:pt>
                <c:pt idx="5">
                  <c:v>3.5198711120113667E-3</c:v>
                </c:pt>
                <c:pt idx="6">
                  <c:v>1.6849115826339522E-2</c:v>
                </c:pt>
                <c:pt idx="7">
                  <c:v>3.452454999189549E-3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E40-458C-B6EC-AC7109D3E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6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2532754773205"/>
          <c:y val="0.1419497566458949"/>
          <c:w val="0.50462265985103572"/>
          <c:h val="0.772551658831439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accent5">
                    <a:lumMod val="60000"/>
                    <a:lumOff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B9-4980-8BA0-AB02B429D3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B9-4980-8BA0-AB02B429D393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B9-4980-8BA0-AB02B429D39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B9-4980-8BA0-AB02B429D39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B9-4980-8BA0-AB02B429D393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B9-4980-8BA0-AB02B429D393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B9-4980-8BA0-AB02B429D393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8B9-4980-8BA0-AB02B429D393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8B9-4980-8BA0-AB02B429D393}"/>
              </c:ext>
            </c:extLst>
          </c:dPt>
          <c:dLbls>
            <c:dLbl>
              <c:idx val="0"/>
              <c:layout>
                <c:manualLayout>
                  <c:x val="-0.11418520566838715"/>
                  <c:y val="-0.251135919528383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9-4980-8BA0-AB02B429D393}"/>
                </c:ext>
              </c:extLst>
            </c:dLbl>
            <c:dLbl>
              <c:idx val="1"/>
              <c:layout>
                <c:manualLayout>
                  <c:x val="0.17643882207454945"/>
                  <c:y val="0.193770375561693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B9-4980-8BA0-AB02B429D393}"/>
                </c:ext>
              </c:extLst>
            </c:dLbl>
            <c:dLbl>
              <c:idx val="2"/>
              <c:layout>
                <c:manualLayout>
                  <c:x val="-0.22812155683561494"/>
                  <c:y val="-0.12995237893782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B9-4980-8BA0-AB02B429D393}"/>
                </c:ext>
              </c:extLst>
            </c:dLbl>
            <c:dLbl>
              <c:idx val="3"/>
              <c:layout>
                <c:manualLayout>
                  <c:x val="-7.1692771717892192E-2"/>
                  <c:y val="-0.1999982550960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B9-4980-8BA0-AB02B429D393}"/>
                </c:ext>
              </c:extLst>
            </c:dLbl>
            <c:dLbl>
              <c:idx val="4"/>
              <c:layout>
                <c:manualLayout>
                  <c:x val="-2.0930245562478338E-2"/>
                  <c:y val="-0.1747111402074756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B9-4980-8BA0-AB02B429D393}"/>
                </c:ext>
              </c:extLst>
            </c:dLbl>
            <c:dLbl>
              <c:idx val="5"/>
              <c:layout>
                <c:manualLayout>
                  <c:x val="5.0782205221039024E-2"/>
                  <c:y val="-0.12180120836243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B9-4980-8BA0-AB02B429D393}"/>
                </c:ext>
              </c:extLst>
            </c:dLbl>
            <c:dLbl>
              <c:idx val="6"/>
              <c:layout>
                <c:manualLayout>
                  <c:x val="6.145670035622345E-2"/>
                  <c:y val="2.9402454355535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04246849897763"/>
                      <c:h val="0.18240419119340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8B9-4980-8BA0-AB02B429D393}"/>
                </c:ext>
              </c:extLst>
            </c:dLbl>
            <c:dLbl>
              <c:idx val="7"/>
              <c:layout>
                <c:manualLayout>
                  <c:x val="4.8831396863092416E-2"/>
                  <c:y val="0.14142150080504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B9-4980-8BA0-AB02B429D393}"/>
                </c:ext>
              </c:extLst>
            </c:dLbl>
            <c:dLbl>
              <c:idx val="8"/>
              <c:layout>
                <c:manualLayout>
                  <c:x val="4.168262678318671E-2"/>
                  <c:y val="0.2193072632613933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B9-4980-8BA0-AB02B429D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'DonnéesGraph9&amp;10 ok'!$D$2:$D$9</c:f>
              <c:strCache>
                <c:ptCount val="8"/>
                <c:pt idx="0">
                  <c:v>Non-salariés agricoles</c:v>
                </c:pt>
                <c:pt idx="1">
                  <c:v>Salariés agricoles</c:v>
                </c:pt>
                <c:pt idx="2">
                  <c:v>Fonctionnaires Civils</c:v>
                </c:pt>
                <c:pt idx="3">
                  <c:v>Mines</c:v>
                </c:pt>
                <c:pt idx="4">
                  <c:v>Marins</c:v>
                </c:pt>
                <c:pt idx="5">
                  <c:v>Ouvriers de l'Etat</c:v>
                </c:pt>
                <c:pt idx="6">
                  <c:v>CRP des Clercs et Employés de Notaires</c:v>
                </c:pt>
                <c:pt idx="7">
                  <c:v>SNCF</c:v>
                </c:pt>
              </c:strCache>
            </c:strRef>
          </c:cat>
          <c:val>
            <c:numRef>
              <c:f>'DonnéesGraph9&amp;10 ok'!$F$2:$F$9</c:f>
              <c:numCache>
                <c:formatCode>0.0%</c:formatCode>
                <c:ptCount val="8"/>
                <c:pt idx="0">
                  <c:v>0.42367610302623349</c:v>
                </c:pt>
                <c:pt idx="1">
                  <c:v>0.40919529664869997</c:v>
                </c:pt>
                <c:pt idx="2">
                  <c:v>8.9715661178581388E-2</c:v>
                </c:pt>
                <c:pt idx="3">
                  <c:v>3.0902985273629249E-2</c:v>
                </c:pt>
                <c:pt idx="4">
                  <c:v>1.2925743800896266E-2</c:v>
                </c:pt>
                <c:pt idx="5">
                  <c:v>1.5295767164984191E-2</c:v>
                </c:pt>
                <c:pt idx="6">
                  <c:v>5.2948984953451487E-3</c:v>
                </c:pt>
                <c:pt idx="7">
                  <c:v>1.2993544411630345E-2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8B9-4980-8BA0-AB02B429D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4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12532754773205"/>
          <c:y val="0.1419497566458949"/>
          <c:w val="0.50462265985103572"/>
          <c:h val="0.7725516588314392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4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accent5">
                    <a:lumMod val="60000"/>
                    <a:lumOff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3E-4FAD-8A9A-0BF35A1AFCFC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5">
                      <a:lumMod val="60000"/>
                      <a:lumOff val="40000"/>
                      <a:shade val="30000"/>
                      <a:satMod val="115000"/>
                    </a:schemeClr>
                  </a:gs>
                  <a:gs pos="50000">
                    <a:schemeClr val="accent5">
                      <a:lumMod val="60000"/>
                      <a:lumOff val="40000"/>
                      <a:shade val="67500"/>
                      <a:satMod val="115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100000"/>
                      <a:satMod val="115000"/>
                    </a:schemeClr>
                  </a:gs>
                </a:gsLst>
                <a:lin ang="2700000" scaled="1"/>
                <a:tileRect/>
              </a:gradFill>
              <a:ln>
                <a:noFill/>
              </a:ln>
              <a:effectLst>
                <a:outerShdw blurRad="50800" dist="50800" dir="5400000" algn="ctr" rotWithShape="0">
                  <a:schemeClr val="accent2">
                    <a:lumMod val="60000"/>
                    <a:lumOff val="40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3E-4FAD-8A9A-0BF35A1AFCFC}"/>
              </c:ext>
            </c:extLst>
          </c:dPt>
          <c:dPt>
            <c:idx val="2"/>
            <c:bubble3D val="0"/>
            <c:spPr>
              <a:solidFill>
                <a:schemeClr val="accent5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3E-4FAD-8A9A-0BF35A1AFCFC}"/>
              </c:ext>
            </c:extLst>
          </c:dPt>
          <c:dPt>
            <c:idx val="3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3E-4FAD-8A9A-0BF35A1AFC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3E-4FAD-8A9A-0BF35A1AFCFC}"/>
              </c:ext>
            </c:extLst>
          </c:dPt>
          <c:dPt>
            <c:idx val="5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53E-4FAD-8A9A-0BF35A1AFCFC}"/>
              </c:ext>
            </c:extLst>
          </c:dPt>
          <c:dPt>
            <c:idx val="6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53E-4FAD-8A9A-0BF35A1AFCFC}"/>
              </c:ext>
            </c:extLst>
          </c:dPt>
          <c:dPt>
            <c:idx val="7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53E-4FAD-8A9A-0BF35A1AFCFC}"/>
              </c:ext>
            </c:extLst>
          </c:dPt>
          <c:dPt>
            <c:idx val="8"/>
            <c:bubble3D val="0"/>
            <c:spPr>
              <a:solidFill>
                <a:schemeClr val="accent5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53E-4FAD-8A9A-0BF35A1AFCFC}"/>
              </c:ext>
            </c:extLst>
          </c:dPt>
          <c:dLbls>
            <c:dLbl>
              <c:idx val="0"/>
              <c:layout>
                <c:manualLayout>
                  <c:x val="-4.8581563374829627E-2"/>
                  <c:y val="-6.10974151791235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E-4FAD-8A9A-0BF35A1AFCFC}"/>
                </c:ext>
              </c:extLst>
            </c:dLbl>
            <c:dLbl>
              <c:idx val="1"/>
              <c:layout>
                <c:manualLayout>
                  <c:x val="-1.3538392067211018E-2"/>
                  <c:y val="4.2985035247557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3E-4FAD-8A9A-0BF35A1AFCFC}"/>
                </c:ext>
              </c:extLst>
            </c:dLbl>
            <c:dLbl>
              <c:idx val="2"/>
              <c:layout>
                <c:manualLayout>
                  <c:x val="0.21880321350229706"/>
                  <c:y val="-0.2451356721771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3E-4FAD-8A9A-0BF35A1AFCFC}"/>
                </c:ext>
              </c:extLst>
            </c:dLbl>
            <c:dLbl>
              <c:idx val="3"/>
              <c:layout>
                <c:manualLayout>
                  <c:x val="0.14561931570967246"/>
                  <c:y val="-0.1874327410644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3E-4FAD-8A9A-0BF35A1AFCFC}"/>
                </c:ext>
              </c:extLst>
            </c:dLbl>
            <c:dLbl>
              <c:idx val="4"/>
              <c:layout>
                <c:manualLayout>
                  <c:x val="0.138978668807825"/>
                  <c:y val="-0.130732077338500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3E-4FAD-8A9A-0BF35A1AFCFC}"/>
                </c:ext>
              </c:extLst>
            </c:dLbl>
            <c:dLbl>
              <c:idx val="5"/>
              <c:layout>
                <c:manualLayout>
                  <c:x val="0.16558860812553197"/>
                  <c:y val="-5.2691264377293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3E-4FAD-8A9A-0BF35A1AFCFC}"/>
                </c:ext>
              </c:extLst>
            </c:dLbl>
            <c:dLbl>
              <c:idx val="6"/>
              <c:layout>
                <c:manualLayout>
                  <c:x val="0.20154781979273512"/>
                  <c:y val="3.98737683967514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947754598039401"/>
                      <c:h val="0.132142474337304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53E-4FAD-8A9A-0BF35A1AFCFC}"/>
                </c:ext>
              </c:extLst>
            </c:dLbl>
            <c:dLbl>
              <c:idx val="7"/>
              <c:layout>
                <c:manualLayout>
                  <c:x val="0.17183817294717152"/>
                  <c:y val="0.143515686193675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3E-4FAD-8A9A-0BF35A1AFCFC}"/>
                </c:ext>
              </c:extLst>
            </c:dLbl>
            <c:dLbl>
              <c:idx val="8"/>
              <c:layout>
                <c:manualLayout>
                  <c:x val="0.13598787021369718"/>
                  <c:y val="0.248626623242775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3E-4FAD-8A9A-0BF35A1AF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'DonnéesGraph9&amp;10 ok'!$D$2:$D$9</c:f>
              <c:strCache>
                <c:ptCount val="8"/>
                <c:pt idx="0">
                  <c:v>Non-salariés agricoles</c:v>
                </c:pt>
                <c:pt idx="1">
                  <c:v>Salariés agricoles</c:v>
                </c:pt>
                <c:pt idx="2">
                  <c:v>Fonctionnaires Civils</c:v>
                </c:pt>
                <c:pt idx="3">
                  <c:v>Mines</c:v>
                </c:pt>
                <c:pt idx="4">
                  <c:v>Marins</c:v>
                </c:pt>
                <c:pt idx="5">
                  <c:v>Ouvriers de l'Etat</c:v>
                </c:pt>
                <c:pt idx="6">
                  <c:v>CRP des Clercs et Employés de Notaires</c:v>
                </c:pt>
                <c:pt idx="7">
                  <c:v>SNCF</c:v>
                </c:pt>
              </c:strCache>
            </c:strRef>
          </c:cat>
          <c:val>
            <c:numRef>
              <c:f>'DonnéesGraph9&amp;10 ok'!$F$2:$F$9</c:f>
              <c:numCache>
                <c:formatCode>0.0%</c:formatCode>
                <c:ptCount val="8"/>
                <c:pt idx="0">
                  <c:v>0.42367610302623349</c:v>
                </c:pt>
                <c:pt idx="1">
                  <c:v>0.40919529664869997</c:v>
                </c:pt>
                <c:pt idx="2">
                  <c:v>8.9715661178581388E-2</c:v>
                </c:pt>
                <c:pt idx="3">
                  <c:v>3.0902985273629249E-2</c:v>
                </c:pt>
                <c:pt idx="4">
                  <c:v>1.2925743800896266E-2</c:v>
                </c:pt>
                <c:pt idx="5">
                  <c:v>1.5295767164984191E-2</c:v>
                </c:pt>
                <c:pt idx="6">
                  <c:v>5.2948984953451487E-3</c:v>
                </c:pt>
                <c:pt idx="7">
                  <c:v>1.2993544411630345E-2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3E-4FAD-8A9A-0BF35A1A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4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3223207091056"/>
          <c:y val="2.8281298808055896E-2"/>
          <c:w val="0.881993875906527"/>
          <c:h val="0.85127332511302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90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47-4C90-9108-C61A367D3BE9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47-4C90-9108-C61A367D3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'DonnéesGraph ok'!$AC$1:$AF$1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2024(p)</c:v>
                </c:pt>
                <c:pt idx="3">
                  <c:v>2025(p)</c:v>
                </c:pt>
              </c:strCache>
            </c:strRef>
          </c:cat>
          <c:val>
            <c:numRef>
              <c:f>'DonnéesGraph ok'!$AC$3:$AF$3</c:f>
              <c:numCache>
                <c:formatCode>#,##0</c:formatCode>
                <c:ptCount val="4"/>
                <c:pt idx="0">
                  <c:v>430081</c:v>
                </c:pt>
                <c:pt idx="1">
                  <c:v>421381</c:v>
                </c:pt>
                <c:pt idx="2">
                  <c:v>415638</c:v>
                </c:pt>
                <c:pt idx="3">
                  <c:v>409632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47-4C90-9108-C61A367D3BE9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90">
                <a:fgClr>
                  <a:schemeClr val="accent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47-4C90-9108-C61A367D3BE9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accent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947-4C90-9108-C61A367D3BE9}"/>
              </c:ext>
            </c:extLst>
          </c:dPt>
          <c:dLbls>
            <c:dLbl>
              <c:idx val="3"/>
              <c:layout>
                <c:manualLayout>
                  <c:x val="-1.3657704165740575E-3"/>
                  <c:y val="-1.4640524081356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47-4C90-9108-C61A367D3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'DonnéesGraph ok'!$AC$1:$AF$1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2024(p)</c:v>
                </c:pt>
                <c:pt idx="3">
                  <c:v>2025(p)</c:v>
                </c:pt>
              </c:strCache>
            </c:strRef>
          </c:cat>
          <c:val>
            <c:numRef>
              <c:f>'DonnéesGraph ok'!$AC$13:$AF$13</c:f>
              <c:numCache>
                <c:formatCode>#,##0</c:formatCode>
                <c:ptCount val="4"/>
                <c:pt idx="0">
                  <c:v>1023825</c:v>
                </c:pt>
                <c:pt idx="1">
                  <c:v>989168</c:v>
                </c:pt>
                <c:pt idx="2">
                  <c:v>961116</c:v>
                </c:pt>
                <c:pt idx="3">
                  <c:v>938632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47-4C90-9108-C61A367D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70536"/>
        <c:axId val="443367008"/>
      </c:barChart>
      <c:lineChart>
        <c:grouping val="standard"/>
        <c:varyColors val="0"/>
        <c:ser>
          <c:idx val="2"/>
          <c:order val="2"/>
          <c:tx>
            <c:strRef>
              <c:f>'Effectifs ok'!$A$36</c:f>
              <c:strCache>
                <c:ptCount val="1"/>
                <c:pt idx="0">
                  <c:v>RAPPORT DEMOG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Pt>
            <c:idx val="2"/>
            <c:bubble3D val="0"/>
            <c:spPr>
              <a:ln w="28575" cap="rnd" cmpd="sng" algn="ctr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47-4C90-9108-C61A367D3BE9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47-4C90-9108-C61A367D3BE9}"/>
              </c:ext>
            </c:extLst>
          </c:dPt>
          <c:dLbls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'DonnéesGraph ok'!$AK$4:$AN$4</c:f>
              <c:numCache>
                <c:formatCode>#,##0.00</c:formatCode>
                <c:ptCount val="4"/>
                <c:pt idx="0">
                  <c:v>2.3805399448010958</c:v>
                </c:pt>
                <c:pt idx="1">
                  <c:v>2.3474432876660316</c:v>
                </c:pt>
                <c:pt idx="2">
                  <c:v>2.3123872215726187</c:v>
                </c:pt>
                <c:pt idx="3">
                  <c:v>2.2914030153894225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947-4C90-9108-C61A367D3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273888"/>
        <c:axId val="443368184"/>
      </c:lineChart>
      <c:catAx>
        <c:axId val="44337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367008"/>
        <c:crosses val="autoZero"/>
        <c:auto val="1"/>
        <c:lblAlgn val="ctr"/>
        <c:lblOffset val="100"/>
        <c:noMultiLvlLbl val="0"/>
      </c:catAx>
      <c:valAx>
        <c:axId val="44336700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370536"/>
        <c:crosses val="autoZero"/>
        <c:crossBetween val="between"/>
        <c:majorUnit val="500000"/>
        <c:minorUnit val="50000"/>
      </c:valAx>
      <c:valAx>
        <c:axId val="443368184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1">
                    <a:solidFill>
                      <a:srgbClr val="C00000"/>
                    </a:solidFill>
                  </a:rPr>
                  <a:t>Nombre de retraités pour un cotisant</a:t>
                </a:r>
              </a:p>
            </c:rich>
          </c:tx>
          <c:layout>
            <c:manualLayout>
              <c:xMode val="edge"/>
              <c:yMode val="edge"/>
              <c:x val="0.94981331423979121"/>
              <c:y val="0.48067656677898751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1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1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3888"/>
        <c:crosses val="max"/>
        <c:crossBetween val="between"/>
        <c:majorUnit val="0.5"/>
      </c:valAx>
      <c:catAx>
        <c:axId val="445273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3681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456774799590326"/>
          <c:w val="1"/>
          <c:h val="5.543225200409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2480314960636E-2"/>
          <c:y val="3.1983378110793999E-2"/>
          <c:w val="0.89891196412948382"/>
          <c:h val="0.8372123939053073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'DonnéesGraph ok'!$A$23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'DonnéesGraph ok'!$B$20:$X$20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ok'!$B$23:$X$23</c:f>
              <c:numCache>
                <c:formatCode>0%</c:formatCode>
                <c:ptCount val="23"/>
                <c:pt idx="0">
                  <c:v>0.67243589022089467</c:v>
                </c:pt>
                <c:pt idx="1">
                  <c:v>0.67571832762828699</c:v>
                </c:pt>
                <c:pt idx="2">
                  <c:v>0.68397487753219699</c:v>
                </c:pt>
                <c:pt idx="3">
                  <c:v>0.71662153660145589</c:v>
                </c:pt>
                <c:pt idx="4">
                  <c:v>0.7153328004991184</c:v>
                </c:pt>
                <c:pt idx="5">
                  <c:v>0.71468989579039466</c:v>
                </c:pt>
                <c:pt idx="6">
                  <c:v>0.71504513912836798</c:v>
                </c:pt>
                <c:pt idx="7">
                  <c:v>0.71573893122909682</c:v>
                </c:pt>
                <c:pt idx="8">
                  <c:v>0.72168852798295191</c:v>
                </c:pt>
                <c:pt idx="9">
                  <c:v>0.72308882917846717</c:v>
                </c:pt>
                <c:pt idx="10">
                  <c:v>0.72374866574266239</c:v>
                </c:pt>
                <c:pt idx="11">
                  <c:v>0.72074780485270562</c:v>
                </c:pt>
                <c:pt idx="12">
                  <c:v>0.7225196252632532</c:v>
                </c:pt>
                <c:pt idx="13">
                  <c:v>0.7224019709768551</c:v>
                </c:pt>
                <c:pt idx="14">
                  <c:v>0.72341425105697243</c:v>
                </c:pt>
                <c:pt idx="15">
                  <c:v>0.7304953118094677</c:v>
                </c:pt>
                <c:pt idx="16">
                  <c:v>0.72637405787020115</c:v>
                </c:pt>
                <c:pt idx="17">
                  <c:v>0.72615742043934739</c:v>
                </c:pt>
                <c:pt idx="18">
                  <c:v>0.72390885174723041</c:v>
                </c:pt>
                <c:pt idx="19">
                  <c:v>0.72482839965336843</c:v>
                </c:pt>
                <c:pt idx="20">
                  <c:v>0.72064902811159837</c:v>
                </c:pt>
                <c:pt idx="21">
                  <c:v>0.72477581077831721</c:v>
                </c:pt>
                <c:pt idx="22">
                  <c:v>0.72230284070571216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1-42EA-9664-561D9F53AB32}"/>
            </c:ext>
          </c:extLst>
        </c:ser>
        <c:ser>
          <c:idx val="7"/>
          <c:order val="4"/>
          <c:tx>
            <c:strRef>
              <c:f>'DonnéesGraph ok'!$A$25</c:f>
              <c:strCache>
                <c:ptCount val="1"/>
                <c:pt idx="0">
                  <c:v>Régimes spéciaux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'DonnéesGraph ok'!$B$20:$X$20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ok'!$B$25:$X$25</c:f>
              <c:numCache>
                <c:formatCode>0%</c:formatCode>
                <c:ptCount val="23"/>
                <c:pt idx="0">
                  <c:v>0.22025927390776553</c:v>
                </c:pt>
                <c:pt idx="1">
                  <c:v>0.21814561784580627</c:v>
                </c:pt>
                <c:pt idx="2">
                  <c:v>0.21407463977095742</c:v>
                </c:pt>
                <c:pt idx="3">
                  <c:v>0.19060554754577369</c:v>
                </c:pt>
                <c:pt idx="4">
                  <c:v>0.19217178619606159</c:v>
                </c:pt>
                <c:pt idx="5">
                  <c:v>0.19230725353064038</c:v>
                </c:pt>
                <c:pt idx="6">
                  <c:v>0.19340027946416305</c:v>
                </c:pt>
                <c:pt idx="7">
                  <c:v>0.1922391479657235</c:v>
                </c:pt>
                <c:pt idx="8">
                  <c:v>0.18653619473879196</c:v>
                </c:pt>
                <c:pt idx="9">
                  <c:v>0.18579286579497714</c:v>
                </c:pt>
                <c:pt idx="10">
                  <c:v>0.18362390230809059</c:v>
                </c:pt>
                <c:pt idx="11">
                  <c:v>0.18653357719967803</c:v>
                </c:pt>
                <c:pt idx="12">
                  <c:v>0.18611634779114208</c:v>
                </c:pt>
                <c:pt idx="13">
                  <c:v>0.18681928882661117</c:v>
                </c:pt>
                <c:pt idx="14">
                  <c:v>0.18679943505188509</c:v>
                </c:pt>
                <c:pt idx="15">
                  <c:v>0.182875989569734</c:v>
                </c:pt>
                <c:pt idx="16">
                  <c:v>0.18302522745485031</c:v>
                </c:pt>
                <c:pt idx="17">
                  <c:v>0.1811456138935722</c:v>
                </c:pt>
                <c:pt idx="18">
                  <c:v>0.18253118379570921</c:v>
                </c:pt>
                <c:pt idx="19">
                  <c:v>0.17413065388540305</c:v>
                </c:pt>
                <c:pt idx="20">
                  <c:v>0.17223350142270696</c:v>
                </c:pt>
                <c:pt idx="21">
                  <c:v>0.16363002481065325</c:v>
                </c:pt>
                <c:pt idx="22">
                  <c:v>0.16226077268633693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1-42EA-9664-561D9F53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88968"/>
        <c:axId val="129287792"/>
      </c:barChart>
      <c:lineChart>
        <c:grouping val="standard"/>
        <c:varyColors val="0"/>
        <c:ser>
          <c:idx val="1"/>
          <c:order val="1"/>
          <c:tx>
            <c:strRef>
              <c:f>'DonnéesGraph ok'!$A$21</c:f>
              <c:strCache>
                <c:ptCount val="1"/>
                <c:pt idx="0">
                  <c:v>Régime des SA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'DonnéesGraph ok'!$B$20:$X$20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ok'!$B$21:$X$21</c:f>
              <c:numCache>
                <c:formatCode>0%</c:formatCode>
                <c:ptCount val="23"/>
                <c:pt idx="0">
                  <c:v>2.8771910629298375E-2</c:v>
                </c:pt>
                <c:pt idx="1">
                  <c:v>2.8937073134416496E-2</c:v>
                </c:pt>
                <c:pt idx="2">
                  <c:v>2.813251034107626E-2</c:v>
                </c:pt>
                <c:pt idx="3">
                  <c:v>2.7180291401814764E-2</c:v>
                </c:pt>
                <c:pt idx="4">
                  <c:v>2.6329314189817397E-2</c:v>
                </c:pt>
                <c:pt idx="5">
                  <c:v>2.6107853876511107E-2</c:v>
                </c:pt>
                <c:pt idx="6">
                  <c:v>2.5898967495953672E-2</c:v>
                </c:pt>
                <c:pt idx="7">
                  <c:v>2.5666428156587363E-2</c:v>
                </c:pt>
                <c:pt idx="8">
                  <c:v>2.5078821224737438E-2</c:v>
                </c:pt>
                <c:pt idx="9">
                  <c:v>2.5125471928103351E-2</c:v>
                </c:pt>
                <c:pt idx="10">
                  <c:v>2.4569259079914429E-2</c:v>
                </c:pt>
                <c:pt idx="11">
                  <c:v>2.3471407304739421E-2</c:v>
                </c:pt>
                <c:pt idx="12">
                  <c:v>2.3434042176742925E-2</c:v>
                </c:pt>
                <c:pt idx="13">
                  <c:v>2.3635547437303842E-2</c:v>
                </c:pt>
                <c:pt idx="14">
                  <c:v>2.4355780019955215E-2</c:v>
                </c:pt>
                <c:pt idx="15">
                  <c:v>2.4081116009338457E-2</c:v>
                </c:pt>
                <c:pt idx="16">
                  <c:v>2.4174446023426693E-2</c:v>
                </c:pt>
                <c:pt idx="17">
                  <c:v>2.3629314089255768E-2</c:v>
                </c:pt>
                <c:pt idx="18">
                  <c:v>2.3737916923644929E-2</c:v>
                </c:pt>
                <c:pt idx="19">
                  <c:v>2.459597947383102E-2</c:v>
                </c:pt>
                <c:pt idx="20">
                  <c:v>2.4839179054428825E-2</c:v>
                </c:pt>
                <c:pt idx="21">
                  <c:v>2.4734777844359443E-2</c:v>
                </c:pt>
                <c:pt idx="22">
                  <c:v>2.4848481876740051E-2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01-42EA-9664-561D9F53AB32}"/>
            </c:ext>
          </c:extLst>
        </c:ser>
        <c:ser>
          <c:idx val="2"/>
          <c:order val="2"/>
          <c:tx>
            <c:strRef>
              <c:f>'DonnéesGraph ok'!$A$22</c:f>
              <c:strCache>
                <c:ptCount val="1"/>
                <c:pt idx="0">
                  <c:v>Régime des NSA</c:v>
                </c:pt>
              </c:strCache>
            </c:strRef>
          </c:tx>
          <c:spPr>
            <a:ln>
              <a:solidFill>
                <a:srgbClr val="99FFCC"/>
              </a:solidFill>
            </a:ln>
          </c:spPr>
          <c:marker>
            <c:symbol val="none"/>
          </c:marker>
          <c:cat>
            <c:numRef>
              <c:f>'DonnéesGraph ok'!$B$20:$X$20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ok'!$B$22:$X$22</c:f>
              <c:numCache>
                <c:formatCode>0%</c:formatCode>
                <c:ptCount val="23"/>
                <c:pt idx="0">
                  <c:v>2.9970785682183507E-2</c:v>
                </c:pt>
                <c:pt idx="1">
                  <c:v>2.89228338587398E-2</c:v>
                </c:pt>
                <c:pt idx="2">
                  <c:v>2.7172446652928024E-2</c:v>
                </c:pt>
                <c:pt idx="3">
                  <c:v>2.3262045584714605E-2</c:v>
                </c:pt>
                <c:pt idx="4">
                  <c:v>2.2569886224992005E-2</c:v>
                </c:pt>
                <c:pt idx="5">
                  <c:v>2.1894291732164554E-2</c:v>
                </c:pt>
                <c:pt idx="6">
                  <c:v>2.1158974342264492E-2</c:v>
                </c:pt>
                <c:pt idx="7">
                  <c:v>2.0430375676098168E-2</c:v>
                </c:pt>
                <c:pt idx="8">
                  <c:v>1.9440198011282037E-2</c:v>
                </c:pt>
                <c:pt idx="9">
                  <c:v>1.8854303032174471E-2</c:v>
                </c:pt>
                <c:pt idx="10">
                  <c:v>1.8288266694587243E-2</c:v>
                </c:pt>
                <c:pt idx="11">
                  <c:v>1.7782736979068806E-2</c:v>
                </c:pt>
                <c:pt idx="12">
                  <c:v>1.7593130420649611E-2</c:v>
                </c:pt>
                <c:pt idx="13">
                  <c:v>1.7245056210419833E-2</c:v>
                </c:pt>
                <c:pt idx="14">
                  <c:v>1.6929523047113332E-2</c:v>
                </c:pt>
                <c:pt idx="15">
                  <c:v>1.6146946999043083E-2</c:v>
                </c:pt>
                <c:pt idx="16">
                  <c:v>1.5740520959555693E-2</c:v>
                </c:pt>
                <c:pt idx="17">
                  <c:v>1.5063557085960091E-2</c:v>
                </c:pt>
                <c:pt idx="18">
                  <c:v>1.4526054300423865E-2</c:v>
                </c:pt>
                <c:pt idx="19">
                  <c:v>1.4055019267037814E-2</c:v>
                </c:pt>
                <c:pt idx="20">
                  <c:v>1.3926493645858294E-2</c:v>
                </c:pt>
                <c:pt idx="21">
                  <c:v>1.3153632688278028E-2</c:v>
                </c:pt>
                <c:pt idx="22">
                  <c:v>1.2780909749150565E-2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01-42EA-9664-561D9F53AB32}"/>
            </c:ext>
          </c:extLst>
        </c:ser>
        <c:ser>
          <c:idx val="0"/>
          <c:order val="3"/>
          <c:tx>
            <c:strRef>
              <c:f>'DonnéesGraph ok'!$A$24</c:f>
              <c:strCache>
                <c:ptCount val="1"/>
                <c:pt idx="0">
                  <c:v>Régime des indépendants 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E701-42EA-9664-561D9F53AB32}"/>
              </c:ext>
            </c:extLst>
          </c:dPt>
          <c:cat>
            <c:numRef>
              <c:f>'DonnéesGraph ok'!$B$20:$X$20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ok'!$B$24:$X$24</c:f>
              <c:numCache>
                <c:formatCode>0%</c:formatCode>
                <c:ptCount val="23"/>
                <c:pt idx="0">
                  <c:v>4.8562139559857852E-2</c:v>
                </c:pt>
                <c:pt idx="1">
                  <c:v>4.8276147532750439E-2</c:v>
                </c:pt>
                <c:pt idx="2">
                  <c:v>4.6645525702841306E-2</c:v>
                </c:pt>
                <c:pt idx="3">
                  <c:v>4.2330578866241093E-2</c:v>
                </c:pt>
                <c:pt idx="4">
                  <c:v>4.3596212890010623E-2</c:v>
                </c:pt>
                <c:pt idx="5">
                  <c:v>4.5000705070289332E-2</c:v>
                </c:pt>
                <c:pt idx="6">
                  <c:v>4.4496639569250832E-2</c:v>
                </c:pt>
                <c:pt idx="7">
                  <c:v>4.5925116972494108E-2</c:v>
                </c:pt>
                <c:pt idx="8">
                  <c:v>4.7256258042236612E-2</c:v>
                </c:pt>
                <c:pt idx="9">
                  <c:v>4.7138530066277849E-2</c:v>
                </c:pt>
                <c:pt idx="10">
                  <c:v>4.9769906174745318E-2</c:v>
                </c:pt>
                <c:pt idx="11">
                  <c:v>5.1464473663807943E-2</c:v>
                </c:pt>
                <c:pt idx="12">
                  <c:v>5.0336854348212209E-2</c:v>
                </c:pt>
                <c:pt idx="13">
                  <c:v>4.9898136548810007E-2</c:v>
                </c:pt>
                <c:pt idx="14">
                  <c:v>4.8501010824073917E-2</c:v>
                </c:pt>
                <c:pt idx="15">
                  <c:v>4.6400635612416724E-2</c:v>
                </c:pt>
                <c:pt idx="16">
                  <c:v>5.0685747691966147E-2</c:v>
                </c:pt>
                <c:pt idx="17">
                  <c:v>5.4004094491864559E-2</c:v>
                </c:pt>
                <c:pt idx="18">
                  <c:v>5.5295993232991614E-2</c:v>
                </c:pt>
                <c:pt idx="19">
                  <c:v>6.2389947720359731E-2</c:v>
                </c:pt>
                <c:pt idx="20">
                  <c:v>6.8351797765407493E-2</c:v>
                </c:pt>
                <c:pt idx="21">
                  <c:v>7.3705753878392094E-2</c:v>
                </c:pt>
                <c:pt idx="22">
                  <c:v>7.7806994982060326E-2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01-42EA-9664-561D9F53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546176"/>
        <c:axId val="316099472"/>
      </c:lineChart>
      <c:catAx>
        <c:axId val="12928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129287792"/>
        <c:crosses val="autoZero"/>
        <c:auto val="1"/>
        <c:lblAlgn val="ctr"/>
        <c:lblOffset val="100"/>
        <c:noMultiLvlLbl val="0"/>
      </c:catAx>
      <c:valAx>
        <c:axId val="1292877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29288968"/>
        <c:crosses val="autoZero"/>
        <c:crossBetween val="between"/>
        <c:majorUnit val="0.1"/>
      </c:valAx>
      <c:valAx>
        <c:axId val="3160994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650546176"/>
        <c:crosses val="max"/>
        <c:crossBetween val="between"/>
      </c:valAx>
      <c:catAx>
        <c:axId val="65054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609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3149606299212641E-3"/>
          <c:y val="0.94253139845122669"/>
          <c:w val="0.98042552493438317"/>
          <c:h val="5.7468601548773347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3223207091056"/>
          <c:y val="2.8281298808055896E-2"/>
          <c:w val="0.881993875906527"/>
          <c:h val="0.85127332511302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90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66-474D-97F1-52672DA78C70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66-474D-97F1-52672DA78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'DonnéesGraph ok'!$AC$1:$AF$1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2024(p)</c:v>
                </c:pt>
                <c:pt idx="3">
                  <c:v>2025(p)</c:v>
                </c:pt>
              </c:strCache>
            </c:strRef>
          </c:cat>
          <c:val>
            <c:numRef>
              <c:f>'DonnéesGraph ok'!$AC$2:$AF$2</c:f>
              <c:numCache>
                <c:formatCode>#,##0</c:formatCode>
                <c:ptCount val="4"/>
                <c:pt idx="0">
                  <c:v>836158</c:v>
                </c:pt>
                <c:pt idx="1">
                  <c:v>827199</c:v>
                </c:pt>
                <c:pt idx="2">
                  <c:v>837693</c:v>
                </c:pt>
                <c:pt idx="3">
                  <c:v>847173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6-474D-97F1-52672DA78C70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pct90">
                <a:fgClr>
                  <a:schemeClr val="accent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66-474D-97F1-52672DA78C70}"/>
              </c:ext>
            </c:extLst>
          </c:dPt>
          <c:dPt>
            <c:idx val="3"/>
            <c:invertIfNegative val="0"/>
            <c:bubble3D val="0"/>
            <c:spPr>
              <a:pattFill prst="pct90">
                <a:fgClr>
                  <a:schemeClr val="accent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66-474D-97F1-52672DA78C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'DonnéesGraph ok'!$AC$1:$AF$1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2024(p)</c:v>
                </c:pt>
                <c:pt idx="3">
                  <c:v>2025(p)</c:v>
                </c:pt>
              </c:strCache>
            </c:strRef>
          </c:cat>
          <c:val>
            <c:numRef>
              <c:f>'DonnéesGraph ok'!$AC$12:$AF$12</c:f>
              <c:numCache>
                <c:formatCode>#,##0</c:formatCode>
                <c:ptCount val="4"/>
                <c:pt idx="0">
                  <c:v>1655898</c:v>
                </c:pt>
                <c:pt idx="1">
                  <c:v>1621516</c:v>
                </c:pt>
                <c:pt idx="2">
                  <c:v>1595503</c:v>
                </c:pt>
                <c:pt idx="3">
                  <c:v>1571979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66-474D-97F1-52672DA7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72320"/>
        <c:axId val="445273104"/>
      </c:barChart>
      <c:lineChart>
        <c:grouping val="standard"/>
        <c:varyColors val="0"/>
        <c:ser>
          <c:idx val="2"/>
          <c:order val="2"/>
          <c:tx>
            <c:strRef>
              <c:f>'Effectifs ok'!$A$36</c:f>
              <c:strCache>
                <c:ptCount val="1"/>
                <c:pt idx="0">
                  <c:v>RAPPORT DEMOG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5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2"/>
            <c:bubble3D val="0"/>
            <c:spPr>
              <a:ln w="28575" cap="rnd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66-474D-97F1-52672DA78C70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66-474D-97F1-52672DA78C70}"/>
              </c:ext>
            </c:extLst>
          </c:dPt>
          <c:dLbls>
            <c:numFmt formatCode="#,##0.0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'DonnéesGraph ok'!$AK$3:$AN$3</c:f>
              <c:numCache>
                <c:formatCode>#,##0.00</c:formatCode>
                <c:ptCount val="4"/>
                <c:pt idx="0">
                  <c:v>1.9803649549487059</c:v>
                </c:pt>
                <c:pt idx="1">
                  <c:v>1.9602489848271094</c:v>
                </c:pt>
                <c:pt idx="2">
                  <c:v>1.9046392890951698</c:v>
                </c:pt>
                <c:pt idx="3">
                  <c:v>1.8555584278535788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66-474D-97F1-52672DA7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271928"/>
        <c:axId val="445271536"/>
      </c:lineChart>
      <c:catAx>
        <c:axId val="44527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3104"/>
        <c:crosses val="autoZero"/>
        <c:auto val="1"/>
        <c:lblAlgn val="ctr"/>
        <c:lblOffset val="100"/>
        <c:noMultiLvlLbl val="0"/>
      </c:catAx>
      <c:valAx>
        <c:axId val="44527310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2320"/>
        <c:crosses val="autoZero"/>
        <c:crossBetween val="between"/>
        <c:majorUnit val="500000"/>
        <c:minorUnit val="50000"/>
      </c:valAx>
      <c:valAx>
        <c:axId val="445271536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1">
                    <a:solidFill>
                      <a:srgbClr val="C00000"/>
                    </a:solidFill>
                  </a:rPr>
                  <a:t>Nombre de retraités pour un cotisant</a:t>
                </a:r>
              </a:p>
            </c:rich>
          </c:tx>
          <c:layout>
            <c:manualLayout>
              <c:xMode val="edge"/>
              <c:yMode val="edge"/>
              <c:x val="0.95254485507293918"/>
              <c:y val="0.47858506333879375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1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1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1928"/>
        <c:crosses val="max"/>
        <c:crossBetween val="between"/>
        <c:majorUnit val="0.5"/>
      </c:valAx>
      <c:catAx>
        <c:axId val="445271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2715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247624455570955"/>
          <c:w val="1"/>
          <c:h val="5.7523755444290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54444178629156E-2"/>
          <c:y val="4.8848249989693698E-2"/>
          <c:w val="0.88991093250906916"/>
          <c:h val="0.84766079894463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'TransfertCompDemo_2 ok '!$A$3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30000"/>
                    <a:satMod val="115000"/>
                  </a:schemeClr>
                </a:gs>
                <a:gs pos="50000">
                  <a:schemeClr val="accent4">
                    <a:shade val="67500"/>
                    <a:satMod val="115000"/>
                  </a:schemeClr>
                </a:gs>
                <a:gs pos="100000">
                  <a:schemeClr val="accent4"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B9-46AF-ABF4-D72D5F959D8B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shade val="30000"/>
                      <a:satMod val="115000"/>
                    </a:schemeClr>
                  </a:gs>
                  <a:gs pos="50000">
                    <a:schemeClr val="accent4">
                      <a:shade val="67500"/>
                      <a:satMod val="115000"/>
                    </a:schemeClr>
                  </a:gs>
                  <a:gs pos="100000">
                    <a:schemeClr val="accent4">
                      <a:shade val="100000"/>
                      <a:satMod val="115000"/>
                    </a:schemeClr>
                  </a:gs>
                </a:gsLst>
                <a:lin ang="18900000" scaled="1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B9-46AF-ABF4-D72D5F959D8B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shade val="30000"/>
                      <a:satMod val="115000"/>
                    </a:schemeClr>
                  </a:gs>
                  <a:gs pos="50000">
                    <a:schemeClr val="accent4">
                      <a:shade val="67500"/>
                      <a:satMod val="115000"/>
                    </a:schemeClr>
                  </a:gs>
                  <a:gs pos="100000">
                    <a:schemeClr val="accent4">
                      <a:shade val="100000"/>
                      <a:satMod val="115000"/>
                    </a:schemeClr>
                  </a:gs>
                </a:gsLst>
                <a:lin ang="18900000" scaled="1"/>
                <a:tileRect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94C-4B6F-A559-987D5EA16A7D}"/>
              </c:ext>
            </c:extLst>
          </c:dPt>
          <c:dLbls>
            <c:numFmt formatCode="#,##0&quot; &quot;&quot;M&quot;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'TransfertCompDemo_2 ok '!$AE$2:$AI$2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2024(p)</c:v>
                </c:pt>
                <c:pt idx="4">
                  <c:v>2025(p)</c:v>
                </c:pt>
              </c:strCache>
            </c:strRef>
          </c:cat>
          <c:val>
            <c:numRef>
              <c:f>'TransfertCompDemo_2 ok '!$AE$3:$AI$3</c:f>
              <c:numCache>
                <c:formatCode>#,##0</c:formatCode>
                <c:ptCount val="5"/>
                <c:pt idx="0">
                  <c:v>4143123209</c:v>
                </c:pt>
                <c:pt idx="1">
                  <c:v>4097810664</c:v>
                </c:pt>
                <c:pt idx="2">
                  <c:v>4073503482</c:v>
                </c:pt>
                <c:pt idx="3">
                  <c:v>4120000000</c:v>
                </c:pt>
                <c:pt idx="4">
                  <c:v>3872000000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B9-46AF-ABF4-D72D5F959D8B}"/>
            </c:ext>
          </c:extLst>
        </c:ser>
        <c:ser>
          <c:idx val="1"/>
          <c:order val="1"/>
          <c:tx>
            <c:strRef>
              <c:f>'TransfertCompDemo_2 ok '!$A$4</c:f>
              <c:strCache>
                <c:ptCount val="1"/>
                <c:pt idx="0">
                  <c:v>Salariés Agricoles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DB9-46AF-ABF4-D72D5F959D8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DB9-46AF-ABF4-D72D5F959D8B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DB5-4683-BB8D-6EEFCF1D5198}"/>
              </c:ext>
            </c:extLst>
          </c:dPt>
          <c:dLbls>
            <c:dLbl>
              <c:idx val="0"/>
              <c:layout>
                <c:manualLayout>
                  <c:x val="-2.5929716820197908E-2"/>
                  <c:y val="8.3594566353185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9-46AF-ABF4-D72D5F959D8B}"/>
                </c:ext>
              </c:extLst>
            </c:dLbl>
            <c:dLbl>
              <c:idx val="1"/>
              <c:layout>
                <c:manualLayout>
                  <c:x val="-1.6376663254861822E-2"/>
                  <c:y val="6.269592476489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9-46AF-ABF4-D72D5F959D8B}"/>
                </c:ext>
              </c:extLst>
            </c:dLbl>
            <c:dLbl>
              <c:idx val="2"/>
              <c:layout>
                <c:manualLayout>
                  <c:x val="-2.4564994882292832E-2"/>
                  <c:y val="4.17972831765950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9-46AF-ABF4-D72D5F959D8B}"/>
                </c:ext>
              </c:extLst>
            </c:dLbl>
            <c:dLbl>
              <c:idx val="3"/>
              <c:layout>
                <c:manualLayout>
                  <c:x val="-2.0470829068577178E-2"/>
                  <c:y val="8.3594566353187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9-46AF-ABF4-D72D5F959D8B}"/>
                </c:ext>
              </c:extLst>
            </c:dLbl>
            <c:dLbl>
              <c:idx val="4"/>
              <c:layout>
                <c:manualLayout>
                  <c:x val="-3.2801821146778987E-2"/>
                  <c:y val="-2.09424083769633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5-4683-BB8D-6EEFCF1D5198}"/>
                </c:ext>
              </c:extLst>
            </c:dLbl>
            <c:numFmt formatCode="#,##0&quot; &quot;&quot;M&quot;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'TransfertCompDemo_2 ok '!$AE$2:$AI$2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2024(p)</c:v>
                </c:pt>
                <c:pt idx="4">
                  <c:v>2025(p)</c:v>
                </c:pt>
              </c:strCache>
            </c:strRef>
          </c:cat>
          <c:val>
            <c:numRef>
              <c:f>'TransfertCompDemo_2 ok '!$AE$4:$AI$4</c:f>
              <c:numCache>
                <c:formatCode>#,##0</c:formatCode>
                <c:ptCount val="5"/>
                <c:pt idx="0">
                  <c:v>-2488617245</c:v>
                </c:pt>
                <c:pt idx="1">
                  <c:v>-2548294773</c:v>
                </c:pt>
                <c:pt idx="2">
                  <c:v>-2519039080</c:v>
                </c:pt>
                <c:pt idx="3">
                  <c:v>-2595000000</c:v>
                </c:pt>
                <c:pt idx="4">
                  <c:v>-2583000000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B9-46AF-ABF4-D72D5F959D8B}"/>
            </c:ext>
          </c:extLst>
        </c:ser>
        <c:ser>
          <c:idx val="2"/>
          <c:order val="2"/>
          <c:tx>
            <c:strRef>
              <c:f>'TransfertCompDemo_2 ok '!$A$7</c:f>
              <c:strCache>
                <c:ptCount val="1"/>
                <c:pt idx="0">
                  <c:v>Non-salariés agricoles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DB9-46AF-ABF4-D72D5F959D8B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DB9-46AF-ABF4-D72D5F959D8B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A94C-4B6F-A559-987D5EA16A7D}"/>
              </c:ext>
            </c:extLst>
          </c:dPt>
          <c:dLbls>
            <c:dLbl>
              <c:idx val="0"/>
              <c:layout>
                <c:manualLayout>
                  <c:x val="4.0941658137154556E-3"/>
                  <c:y val="-6.2694279202560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B9-46AF-ABF4-D72D5F959D8B}"/>
                </c:ext>
              </c:extLst>
            </c:dLbl>
            <c:dLbl>
              <c:idx val="1"/>
              <c:layout>
                <c:manualLayout>
                  <c:x val="1.774139444545067E-2"/>
                  <c:y val="-3.017685616523065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B9-46AF-ABF4-D72D5F959D8B}"/>
                </c:ext>
              </c:extLst>
            </c:dLbl>
            <c:dLbl>
              <c:idx val="2"/>
              <c:layout>
                <c:manualLayout>
                  <c:x val="2.0466808226756908E-2"/>
                  <c:y val="2.07280372675928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B9-46AF-ABF4-D72D5F959D8B}"/>
                </c:ext>
              </c:extLst>
            </c:dLbl>
            <c:dLbl>
              <c:idx val="3"/>
              <c:layout>
                <c:manualLayout>
                  <c:x val="1.2282497441146366E-2"/>
                  <c:y val="6.2695924764890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B9-46AF-ABF4-D72D5F959D8B}"/>
                </c:ext>
              </c:extLst>
            </c:dLbl>
            <c:numFmt formatCode="#,##0&quot; &quot;&quot;M&quot;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'TransfertCompDemo_2 ok '!$AE$2:$AI$2</c:f>
              <c:strCach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2024(p)</c:v>
                </c:pt>
                <c:pt idx="4">
                  <c:v>2025(p)</c:v>
                </c:pt>
              </c:strCache>
            </c:strRef>
          </c:cat>
          <c:val>
            <c:numRef>
              <c:f>'TransfertCompDemo_2 ok '!$AE$7:$AI$7</c:f>
              <c:numCache>
                <c:formatCode>#,##0</c:formatCode>
                <c:ptCount val="5"/>
                <c:pt idx="0">
                  <c:v>-2668168252</c:v>
                </c:pt>
                <c:pt idx="1">
                  <c:v>-2637253354</c:v>
                </c:pt>
                <c:pt idx="2">
                  <c:v>-2608184086</c:v>
                </c:pt>
                <c:pt idx="3">
                  <c:v>-2650000000</c:v>
                </c:pt>
                <c:pt idx="4">
                  <c:v>-2645000000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B9-46AF-ABF4-D72D5F95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5273496"/>
        <c:axId val="445274280"/>
      </c:barChart>
      <c:catAx>
        <c:axId val="4452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4280"/>
        <c:crosses val="autoZero"/>
        <c:auto val="1"/>
        <c:lblAlgn val="ctr"/>
        <c:lblOffset val="100"/>
        <c:noMultiLvlLbl val="0"/>
      </c:catAx>
      <c:valAx>
        <c:axId val="445274280"/>
        <c:scaling>
          <c:orientation val="minMax"/>
          <c:max val="5000000000"/>
          <c:min val="-400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273496"/>
        <c:crosses val="autoZero"/>
        <c:crossBetween val="between"/>
        <c:majorUnit val="1000000000"/>
        <c:dispUnits>
          <c:builtInUnit val="millions"/>
          <c:dispUnitsLbl>
            <c:layout>
              <c:manualLayout>
                <c:xMode val="edge"/>
                <c:yMode val="edge"/>
                <c:x val="5.4563160563085014E-3"/>
                <c:y val="0.35876225419466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r-FR" sz="1200" b="0"/>
                    <a:t>Montants en millions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268628512597"/>
          <c:y val="0.95496640145112754"/>
          <c:w val="0.59076348929157219"/>
          <c:h val="4.2939357711176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3"/>
          <c:order val="0"/>
          <c:tx>
            <c:strRef>
              <c:f>'DonnéesGraph ok'!$A$31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ok'!$B$28:$Y$28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ok'!$B$31:$Y$31</c:f>
              <c:numCache>
                <c:formatCode>0%</c:formatCode>
                <c:ptCount val="24"/>
                <c:pt idx="0">
                  <c:v>0.54775364526580461</c:v>
                </c:pt>
                <c:pt idx="1">
                  <c:v>0.55141401755487374</c:v>
                </c:pt>
                <c:pt idx="2">
                  <c:v>0.55453192260893625</c:v>
                </c:pt>
                <c:pt idx="3">
                  <c:v>0.55839404579607155</c:v>
                </c:pt>
                <c:pt idx="4">
                  <c:v>0.56173884852392786</c:v>
                </c:pt>
                <c:pt idx="5">
                  <c:v>0.56571663509988401</c:v>
                </c:pt>
                <c:pt idx="6">
                  <c:v>0.57407608177291292</c:v>
                </c:pt>
                <c:pt idx="7">
                  <c:v>0.57828194860636872</c:v>
                </c:pt>
                <c:pt idx="8">
                  <c:v>0.58230032971451873</c:v>
                </c:pt>
                <c:pt idx="9">
                  <c:v>0.58658003128278735</c:v>
                </c:pt>
                <c:pt idx="10">
                  <c:v>0.5913204447846675</c:v>
                </c:pt>
                <c:pt idx="11">
                  <c:v>0.59461457290769248</c:v>
                </c:pt>
                <c:pt idx="12">
                  <c:v>0.59801963261340785</c:v>
                </c:pt>
                <c:pt idx="13">
                  <c:v>0.60127263103069384</c:v>
                </c:pt>
                <c:pt idx="14">
                  <c:v>0.60422834294745253</c:v>
                </c:pt>
                <c:pt idx="15">
                  <c:v>0.60633411382379598</c:v>
                </c:pt>
                <c:pt idx="16">
                  <c:v>0.6086915646265314</c:v>
                </c:pt>
                <c:pt idx="17">
                  <c:v>0.60992304444571477</c:v>
                </c:pt>
                <c:pt idx="18">
                  <c:v>0.61375186820614258</c:v>
                </c:pt>
                <c:pt idx="19">
                  <c:v>0.61518757878588282</c:v>
                </c:pt>
                <c:pt idx="20">
                  <c:v>0.61658634649171307</c:v>
                </c:pt>
                <c:pt idx="21">
                  <c:v>0.61681272651073893</c:v>
                </c:pt>
                <c:pt idx="22">
                  <c:v>0.62077587860690864</c:v>
                </c:pt>
                <c:pt idx="23">
                  <c:v>0.62480604934595496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BE-89B0-3A69CC6CEADF}"/>
            </c:ext>
          </c:extLst>
        </c:ser>
        <c:ser>
          <c:idx val="1"/>
          <c:order val="1"/>
          <c:tx>
            <c:strRef>
              <c:f>'DonnéesGraph ok'!$A$29</c:f>
              <c:strCache>
                <c:ptCount val="1"/>
                <c:pt idx="0">
                  <c:v>Régime des 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ok'!$B$28:$Y$28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ok'!$B$29:$Y$29</c:f>
              <c:numCache>
                <c:formatCode>0%</c:formatCode>
                <c:ptCount val="24"/>
                <c:pt idx="0">
                  <c:v>0.11319376143119485</c:v>
                </c:pt>
                <c:pt idx="1">
                  <c:v>0.11264050270256383</c:v>
                </c:pt>
                <c:pt idx="2">
                  <c:v>0.11163992791729825</c:v>
                </c:pt>
                <c:pt idx="3">
                  <c:v>0.11094210779349682</c:v>
                </c:pt>
                <c:pt idx="4">
                  <c:v>0.10970274844531772</c:v>
                </c:pt>
                <c:pt idx="5">
                  <c:v>0.10846660378198539</c:v>
                </c:pt>
                <c:pt idx="6">
                  <c:v>0.10722611474364824</c:v>
                </c:pt>
                <c:pt idx="7">
                  <c:v>0.10558506097920642</c:v>
                </c:pt>
                <c:pt idx="8">
                  <c:v>0.10368529520594166</c:v>
                </c:pt>
                <c:pt idx="9">
                  <c:v>0.10189525311014523</c:v>
                </c:pt>
                <c:pt idx="10">
                  <c:v>9.957776660854481E-2</c:v>
                </c:pt>
                <c:pt idx="11">
                  <c:v>9.8373933848636894E-2</c:v>
                </c:pt>
                <c:pt idx="12">
                  <c:v>9.6199300105076532E-2</c:v>
                </c:pt>
                <c:pt idx="13">
                  <c:v>9.4406243536948764E-2</c:v>
                </c:pt>
                <c:pt idx="14">
                  <c:v>9.3116136069795075E-2</c:v>
                </c:pt>
                <c:pt idx="15">
                  <c:v>9.1825605452329886E-2</c:v>
                </c:pt>
                <c:pt idx="16">
                  <c:v>9.0802934918336076E-2</c:v>
                </c:pt>
                <c:pt idx="17">
                  <c:v>8.9983307367376128E-2</c:v>
                </c:pt>
                <c:pt idx="18">
                  <c:v>8.9612555918616318E-2</c:v>
                </c:pt>
                <c:pt idx="19">
                  <c:v>8.8664357264025828E-2</c:v>
                </c:pt>
                <c:pt idx="20">
                  <c:v>8.7552881287907641E-2</c:v>
                </c:pt>
                <c:pt idx="21">
                  <c:v>8.5309182953367174E-2</c:v>
                </c:pt>
                <c:pt idx="22">
                  <c:v>8.3530819045412943E-2</c:v>
                </c:pt>
                <c:pt idx="23">
                  <c:v>8.1052566281875307E-2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BE-89B0-3A69CC6CEADF}"/>
            </c:ext>
          </c:extLst>
        </c:ser>
        <c:ser>
          <c:idx val="2"/>
          <c:order val="2"/>
          <c:tx>
            <c:strRef>
              <c:f>'DonnéesGraph ok'!$A$30</c:f>
              <c:strCache>
                <c:ptCount val="1"/>
                <c:pt idx="0">
                  <c:v>Régime des NSA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ok'!$B$28:$Y$28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ok'!$B$30:$Y$30</c:f>
              <c:numCache>
                <c:formatCode>0%</c:formatCode>
                <c:ptCount val="24"/>
                <c:pt idx="0">
                  <c:v>0.13042727377372978</c:v>
                </c:pt>
                <c:pt idx="1">
                  <c:v>0.12736038876107211</c:v>
                </c:pt>
                <c:pt idx="2">
                  <c:v>0.12420744012632763</c:v>
                </c:pt>
                <c:pt idx="3">
                  <c:v>0.12089452274487729</c:v>
                </c:pt>
                <c:pt idx="4">
                  <c:v>0.11818783729419663</c:v>
                </c:pt>
                <c:pt idx="5">
                  <c:v>0.1145563104113969</c:v>
                </c:pt>
                <c:pt idx="6">
                  <c:v>0.11115220540253459</c:v>
                </c:pt>
                <c:pt idx="7">
                  <c:v>0.10746391018948905</c:v>
                </c:pt>
                <c:pt idx="8">
                  <c:v>0.10342581965017747</c:v>
                </c:pt>
                <c:pt idx="9">
                  <c:v>9.8491119889215092E-2</c:v>
                </c:pt>
                <c:pt idx="10">
                  <c:v>9.4581173225037646E-2</c:v>
                </c:pt>
                <c:pt idx="11">
                  <c:v>9.0292547966197428E-2</c:v>
                </c:pt>
                <c:pt idx="12">
                  <c:v>8.5826896565328756E-2</c:v>
                </c:pt>
                <c:pt idx="13">
                  <c:v>8.1377031188088117E-2</c:v>
                </c:pt>
                <c:pt idx="14">
                  <c:v>7.7242965167779357E-2</c:v>
                </c:pt>
                <c:pt idx="15">
                  <c:v>7.3211814908732686E-2</c:v>
                </c:pt>
                <c:pt idx="16">
                  <c:v>6.9428623468861611E-2</c:v>
                </c:pt>
                <c:pt idx="17">
                  <c:v>6.6040666827825986E-2</c:v>
                </c:pt>
                <c:pt idx="18">
                  <c:v>6.2808880558228877E-2</c:v>
                </c:pt>
                <c:pt idx="19">
                  <c:v>5.9514427305763264E-2</c:v>
                </c:pt>
                <c:pt idx="20">
                  <c:v>5.6585640042755521E-2</c:v>
                </c:pt>
                <c:pt idx="21">
                  <c:v>5.3944804059657438E-2</c:v>
                </c:pt>
                <c:pt idx="22">
                  <c:v>5.1646261309072121E-2</c:v>
                </c:pt>
                <c:pt idx="23">
                  <c:v>4.944422681238423E-2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A-4BBE-89B0-3A69CC6CEADF}"/>
            </c:ext>
          </c:extLst>
        </c:ser>
        <c:ser>
          <c:idx val="4"/>
          <c:order val="3"/>
          <c:tx>
            <c:strRef>
              <c:f>'DonnéesGraph ok'!$A$24</c:f>
              <c:strCache>
                <c:ptCount val="1"/>
                <c:pt idx="0">
                  <c:v>Régime des indépendants SSI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ok'!$B$28:$Y$28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ok'!$B$24:$Y$24</c:f>
              <c:numCache>
                <c:formatCode>0%</c:formatCode>
                <c:ptCount val="24"/>
                <c:pt idx="0">
                  <c:v>4.8562139559857852E-2</c:v>
                </c:pt>
                <c:pt idx="1">
                  <c:v>4.8276147532750439E-2</c:v>
                </c:pt>
                <c:pt idx="2">
                  <c:v>4.6645525702841306E-2</c:v>
                </c:pt>
                <c:pt idx="3">
                  <c:v>4.2330578866241093E-2</c:v>
                </c:pt>
                <c:pt idx="4">
                  <c:v>4.3596212890010623E-2</c:v>
                </c:pt>
                <c:pt idx="5">
                  <c:v>4.5000705070289332E-2</c:v>
                </c:pt>
                <c:pt idx="6">
                  <c:v>4.4496639569250832E-2</c:v>
                </c:pt>
                <c:pt idx="7">
                  <c:v>4.5925116972494108E-2</c:v>
                </c:pt>
                <c:pt idx="8">
                  <c:v>4.7256258042236612E-2</c:v>
                </c:pt>
                <c:pt idx="9">
                  <c:v>4.7138530066277849E-2</c:v>
                </c:pt>
                <c:pt idx="10">
                  <c:v>4.9769906174745318E-2</c:v>
                </c:pt>
                <c:pt idx="11">
                  <c:v>5.1464473663807943E-2</c:v>
                </c:pt>
                <c:pt idx="12">
                  <c:v>5.0336854348212209E-2</c:v>
                </c:pt>
                <c:pt idx="13">
                  <c:v>4.9898136548810007E-2</c:v>
                </c:pt>
                <c:pt idx="14">
                  <c:v>4.8501010824073917E-2</c:v>
                </c:pt>
                <c:pt idx="15">
                  <c:v>4.6400635612416724E-2</c:v>
                </c:pt>
                <c:pt idx="16">
                  <c:v>5.0685747691966147E-2</c:v>
                </c:pt>
                <c:pt idx="17">
                  <c:v>5.4004094491864559E-2</c:v>
                </c:pt>
                <c:pt idx="18">
                  <c:v>5.5295993232991614E-2</c:v>
                </c:pt>
                <c:pt idx="19">
                  <c:v>6.2389947720359731E-2</c:v>
                </c:pt>
                <c:pt idx="20">
                  <c:v>6.8351797765407493E-2</c:v>
                </c:pt>
                <c:pt idx="21">
                  <c:v>7.3705753878392094E-2</c:v>
                </c:pt>
                <c:pt idx="22">
                  <c:v>7.7806994982060326E-2</c:v>
                </c:pt>
                <c:pt idx="23">
                  <c:v>8.0769100106108632E-2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A-4BBE-89B0-3A69CC6CEADF}"/>
            </c:ext>
          </c:extLst>
        </c:ser>
        <c:ser>
          <c:idx val="7"/>
          <c:order val="4"/>
          <c:tx>
            <c:strRef>
              <c:f>'DonnéesGraph ok'!$A$33</c:f>
              <c:strCache>
                <c:ptCount val="1"/>
                <c:pt idx="0">
                  <c:v>Régimes spéciaux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'DonnéesGraph ok'!$B$28:$Y$28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'DonnéesGraph ok'!$B$33:$Y$33</c:f>
              <c:numCache>
                <c:formatCode>0%</c:formatCode>
                <c:ptCount val="24"/>
                <c:pt idx="0">
                  <c:v>0.13403121551840702</c:v>
                </c:pt>
                <c:pt idx="1">
                  <c:v>0.13404636603067449</c:v>
                </c:pt>
                <c:pt idx="2">
                  <c:v>0.135685350355086</c:v>
                </c:pt>
                <c:pt idx="3">
                  <c:v>0.13617414383321064</c:v>
                </c:pt>
                <c:pt idx="4">
                  <c:v>0.13695368383448861</c:v>
                </c:pt>
                <c:pt idx="5">
                  <c:v>0.13764064363605089</c:v>
                </c:pt>
                <c:pt idx="6">
                  <c:v>0.13355391590095192</c:v>
                </c:pt>
                <c:pt idx="7">
                  <c:v>0.13440246669469935</c:v>
                </c:pt>
                <c:pt idx="8">
                  <c:v>0.13602631510136365</c:v>
                </c:pt>
                <c:pt idx="9">
                  <c:v>0.13813004519991207</c:v>
                </c:pt>
                <c:pt idx="10">
                  <c:v>0.13920321727430632</c:v>
                </c:pt>
                <c:pt idx="11">
                  <c:v>0.14109350978894639</c:v>
                </c:pt>
                <c:pt idx="12">
                  <c:v>0.14382916709123719</c:v>
                </c:pt>
                <c:pt idx="13">
                  <c:v>0.14654132923771826</c:v>
                </c:pt>
                <c:pt idx="14">
                  <c:v>0.14872821522217802</c:v>
                </c:pt>
                <c:pt idx="15">
                  <c:v>0.15143744612935947</c:v>
                </c:pt>
                <c:pt idx="16">
                  <c:v>0.15342005651487498</c:v>
                </c:pt>
                <c:pt idx="17">
                  <c:v>0.15589883618407738</c:v>
                </c:pt>
                <c:pt idx="18">
                  <c:v>0.15865004824726411</c:v>
                </c:pt>
                <c:pt idx="19">
                  <c:v>0.16109865334169896</c:v>
                </c:pt>
                <c:pt idx="20">
                  <c:v>0.16368616875325068</c:v>
                </c:pt>
                <c:pt idx="21">
                  <c:v>0.16851137075086306</c:v>
                </c:pt>
                <c:pt idx="22">
                  <c:v>0.17263398127008667</c:v>
                </c:pt>
                <c:pt idx="23">
                  <c:v>0.17594056663657362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A-4BBE-89B0-3A69CC6CE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  <a:effectLst/>
          </c:spPr>
        </c:serLines>
        <c:axId val="442952312"/>
        <c:axId val="442953096"/>
      </c:barChart>
      <c:catAx>
        <c:axId val="44295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953096"/>
        <c:crosses val="autoZero"/>
        <c:auto val="1"/>
        <c:lblAlgn val="ctr"/>
        <c:lblOffset val="100"/>
        <c:noMultiLvlLbl val="0"/>
      </c:catAx>
      <c:valAx>
        <c:axId val="44295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95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'DonnéesGraph ok'!$A$31</c:f>
              <c:strCache>
                <c:ptCount val="1"/>
                <c:pt idx="0">
                  <c:v>Régime général vieillesse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'DonnéesGraph ok'!$B$28:$X$28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ok'!$B$31:$X$31</c:f>
              <c:numCache>
                <c:formatCode>0%</c:formatCode>
                <c:ptCount val="23"/>
                <c:pt idx="0">
                  <c:v>0.54775364526580461</c:v>
                </c:pt>
                <c:pt idx="1">
                  <c:v>0.55141401755487374</c:v>
                </c:pt>
                <c:pt idx="2">
                  <c:v>0.55453192260893625</c:v>
                </c:pt>
                <c:pt idx="3">
                  <c:v>0.55839404579607155</c:v>
                </c:pt>
                <c:pt idx="4">
                  <c:v>0.56173884852392786</c:v>
                </c:pt>
                <c:pt idx="5">
                  <c:v>0.56571663509988401</c:v>
                </c:pt>
                <c:pt idx="6">
                  <c:v>0.57407608177291292</c:v>
                </c:pt>
                <c:pt idx="7">
                  <c:v>0.57828194860636872</c:v>
                </c:pt>
                <c:pt idx="8">
                  <c:v>0.58230032971451873</c:v>
                </c:pt>
                <c:pt idx="9">
                  <c:v>0.58658003128278735</c:v>
                </c:pt>
                <c:pt idx="10">
                  <c:v>0.5913204447846675</c:v>
                </c:pt>
                <c:pt idx="11">
                  <c:v>0.59461457290769248</c:v>
                </c:pt>
                <c:pt idx="12">
                  <c:v>0.59801963261340785</c:v>
                </c:pt>
                <c:pt idx="13">
                  <c:v>0.60127263103069384</c:v>
                </c:pt>
                <c:pt idx="14">
                  <c:v>0.60422834294745253</c:v>
                </c:pt>
                <c:pt idx="15">
                  <c:v>0.60633411382379598</c:v>
                </c:pt>
                <c:pt idx="16">
                  <c:v>0.6086915646265314</c:v>
                </c:pt>
                <c:pt idx="17">
                  <c:v>0.60992304444571477</c:v>
                </c:pt>
                <c:pt idx="18">
                  <c:v>0.61375186820614258</c:v>
                </c:pt>
                <c:pt idx="19">
                  <c:v>0.61518757878588282</c:v>
                </c:pt>
                <c:pt idx="20">
                  <c:v>0.61658634649171307</c:v>
                </c:pt>
                <c:pt idx="21">
                  <c:v>0.61681272651073893</c:v>
                </c:pt>
                <c:pt idx="22">
                  <c:v>0.62077587860690864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6-4A65-967E-130B53DCA4AB}"/>
            </c:ext>
          </c:extLst>
        </c:ser>
        <c:ser>
          <c:idx val="7"/>
          <c:order val="4"/>
          <c:tx>
            <c:strRef>
              <c:f>'DonnéesGraph ok'!$A$33</c:f>
              <c:strCache>
                <c:ptCount val="1"/>
                <c:pt idx="0">
                  <c:v>Régimes spéciaux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'DonnéesGraph ok'!$B$28:$X$28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ok'!$B$33:$X$33</c:f>
              <c:numCache>
                <c:formatCode>0%</c:formatCode>
                <c:ptCount val="23"/>
                <c:pt idx="0">
                  <c:v>0.13403121551840702</c:v>
                </c:pt>
                <c:pt idx="1">
                  <c:v>0.13404636603067449</c:v>
                </c:pt>
                <c:pt idx="2">
                  <c:v>0.135685350355086</c:v>
                </c:pt>
                <c:pt idx="3">
                  <c:v>0.13617414383321064</c:v>
                </c:pt>
                <c:pt idx="4">
                  <c:v>0.13695368383448861</c:v>
                </c:pt>
                <c:pt idx="5">
                  <c:v>0.13764064363605089</c:v>
                </c:pt>
                <c:pt idx="6">
                  <c:v>0.13355391590095192</c:v>
                </c:pt>
                <c:pt idx="7">
                  <c:v>0.13440246669469935</c:v>
                </c:pt>
                <c:pt idx="8">
                  <c:v>0.13602631510136365</c:v>
                </c:pt>
                <c:pt idx="9">
                  <c:v>0.13813004519991207</c:v>
                </c:pt>
                <c:pt idx="10">
                  <c:v>0.13920321727430632</c:v>
                </c:pt>
                <c:pt idx="11">
                  <c:v>0.14109350978894639</c:v>
                </c:pt>
                <c:pt idx="12">
                  <c:v>0.14382916709123719</c:v>
                </c:pt>
                <c:pt idx="13">
                  <c:v>0.14654132923771826</c:v>
                </c:pt>
                <c:pt idx="14">
                  <c:v>0.14872821522217802</c:v>
                </c:pt>
                <c:pt idx="15">
                  <c:v>0.15143744612935947</c:v>
                </c:pt>
                <c:pt idx="16">
                  <c:v>0.15342005651487498</c:v>
                </c:pt>
                <c:pt idx="17">
                  <c:v>0.15589883618407738</c:v>
                </c:pt>
                <c:pt idx="18">
                  <c:v>0.15865004824726411</c:v>
                </c:pt>
                <c:pt idx="19">
                  <c:v>0.16109865334169896</c:v>
                </c:pt>
                <c:pt idx="20">
                  <c:v>0.16368616875325068</c:v>
                </c:pt>
                <c:pt idx="21">
                  <c:v>0.16851137075086306</c:v>
                </c:pt>
                <c:pt idx="22">
                  <c:v>0.17263398127008667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06-4A65-967E-130B53DCA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52312"/>
        <c:axId val="442953096"/>
      </c:barChart>
      <c:lineChart>
        <c:grouping val="standard"/>
        <c:varyColors val="0"/>
        <c:ser>
          <c:idx val="1"/>
          <c:order val="1"/>
          <c:tx>
            <c:strRef>
              <c:f>'DonnéesGraph ok'!$A$29</c:f>
              <c:strCache>
                <c:ptCount val="1"/>
                <c:pt idx="0">
                  <c:v>Régime des SA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'DonnéesGraph ok'!$B$28:$X$28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ok'!$B$29:$X$29</c:f>
              <c:numCache>
                <c:formatCode>0%</c:formatCode>
                <c:ptCount val="23"/>
                <c:pt idx="0">
                  <c:v>0.11319376143119485</c:v>
                </c:pt>
                <c:pt idx="1">
                  <c:v>0.11264050270256383</c:v>
                </c:pt>
                <c:pt idx="2">
                  <c:v>0.11163992791729825</c:v>
                </c:pt>
                <c:pt idx="3">
                  <c:v>0.11094210779349682</c:v>
                </c:pt>
                <c:pt idx="4">
                  <c:v>0.10970274844531772</c:v>
                </c:pt>
                <c:pt idx="5">
                  <c:v>0.10846660378198539</c:v>
                </c:pt>
                <c:pt idx="6">
                  <c:v>0.10722611474364824</c:v>
                </c:pt>
                <c:pt idx="7">
                  <c:v>0.10558506097920642</c:v>
                </c:pt>
                <c:pt idx="8">
                  <c:v>0.10368529520594166</c:v>
                </c:pt>
                <c:pt idx="9">
                  <c:v>0.10189525311014523</c:v>
                </c:pt>
                <c:pt idx="10">
                  <c:v>9.957776660854481E-2</c:v>
                </c:pt>
                <c:pt idx="11">
                  <c:v>9.8373933848636894E-2</c:v>
                </c:pt>
                <c:pt idx="12">
                  <c:v>9.6199300105076532E-2</c:v>
                </c:pt>
                <c:pt idx="13">
                  <c:v>9.4406243536948764E-2</c:v>
                </c:pt>
                <c:pt idx="14">
                  <c:v>9.3116136069795075E-2</c:v>
                </c:pt>
                <c:pt idx="15">
                  <c:v>9.1825605452329886E-2</c:v>
                </c:pt>
                <c:pt idx="16">
                  <c:v>9.0802934918336076E-2</c:v>
                </c:pt>
                <c:pt idx="17">
                  <c:v>8.9983307367376128E-2</c:v>
                </c:pt>
                <c:pt idx="18">
                  <c:v>8.9612555918616318E-2</c:v>
                </c:pt>
                <c:pt idx="19">
                  <c:v>8.8664357264025828E-2</c:v>
                </c:pt>
                <c:pt idx="20">
                  <c:v>8.7552881287907641E-2</c:v>
                </c:pt>
                <c:pt idx="21">
                  <c:v>8.5309182953367174E-2</c:v>
                </c:pt>
                <c:pt idx="22">
                  <c:v>8.3530819045412943E-2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6-4A65-967E-130B53DCA4AB}"/>
            </c:ext>
          </c:extLst>
        </c:ser>
        <c:ser>
          <c:idx val="2"/>
          <c:order val="2"/>
          <c:tx>
            <c:strRef>
              <c:f>'DonnéesGraph ok'!$A$30</c:f>
              <c:strCache>
                <c:ptCount val="1"/>
                <c:pt idx="0">
                  <c:v>Régime des NSA</c:v>
                </c:pt>
              </c:strCache>
            </c:strRef>
          </c:tx>
          <c:spPr>
            <a:ln>
              <a:solidFill>
                <a:srgbClr val="99FFCC"/>
              </a:solidFill>
            </a:ln>
          </c:spPr>
          <c:marker>
            <c:symbol val="none"/>
          </c:marker>
          <c:cat>
            <c:numRef>
              <c:f>'DonnéesGraph ok'!$B$28:$X$28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ok'!$B$30:$X$30</c:f>
              <c:numCache>
                <c:formatCode>0%</c:formatCode>
                <c:ptCount val="23"/>
                <c:pt idx="0">
                  <c:v>0.13042727377372978</c:v>
                </c:pt>
                <c:pt idx="1">
                  <c:v>0.12736038876107211</c:v>
                </c:pt>
                <c:pt idx="2">
                  <c:v>0.12420744012632763</c:v>
                </c:pt>
                <c:pt idx="3">
                  <c:v>0.12089452274487729</c:v>
                </c:pt>
                <c:pt idx="4">
                  <c:v>0.11818783729419663</c:v>
                </c:pt>
                <c:pt idx="5">
                  <c:v>0.1145563104113969</c:v>
                </c:pt>
                <c:pt idx="6">
                  <c:v>0.11115220540253459</c:v>
                </c:pt>
                <c:pt idx="7">
                  <c:v>0.10746391018948905</c:v>
                </c:pt>
                <c:pt idx="8">
                  <c:v>0.10342581965017747</c:v>
                </c:pt>
                <c:pt idx="9">
                  <c:v>9.8491119889215092E-2</c:v>
                </c:pt>
                <c:pt idx="10">
                  <c:v>9.4581173225037646E-2</c:v>
                </c:pt>
                <c:pt idx="11">
                  <c:v>9.0292547966197428E-2</c:v>
                </c:pt>
                <c:pt idx="12">
                  <c:v>8.5826896565328756E-2</c:v>
                </c:pt>
                <c:pt idx="13">
                  <c:v>8.1377031188088117E-2</c:v>
                </c:pt>
                <c:pt idx="14">
                  <c:v>7.7242965167779357E-2</c:v>
                </c:pt>
                <c:pt idx="15">
                  <c:v>7.3211814908732686E-2</c:v>
                </c:pt>
                <c:pt idx="16">
                  <c:v>6.9428623468861611E-2</c:v>
                </c:pt>
                <c:pt idx="17">
                  <c:v>6.6040666827825986E-2</c:v>
                </c:pt>
                <c:pt idx="18">
                  <c:v>6.2808880558228877E-2</c:v>
                </c:pt>
                <c:pt idx="19">
                  <c:v>5.9514427305763264E-2</c:v>
                </c:pt>
                <c:pt idx="20">
                  <c:v>5.6585640042755521E-2</c:v>
                </c:pt>
                <c:pt idx="21">
                  <c:v>5.3944804059657438E-2</c:v>
                </c:pt>
                <c:pt idx="22">
                  <c:v>5.1646261309072121E-2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6-4A65-967E-130B53DCA4AB}"/>
            </c:ext>
          </c:extLst>
        </c:ser>
        <c:ser>
          <c:idx val="4"/>
          <c:order val="3"/>
          <c:tx>
            <c:strRef>
              <c:f>'DonnéesGraph ok'!$A$24</c:f>
              <c:strCache>
                <c:ptCount val="1"/>
                <c:pt idx="0">
                  <c:v>Régime des indépendants SSI</c:v>
                </c:pt>
              </c:strCache>
            </c:strRef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cat>
            <c:numRef>
              <c:f>'DonnéesGraph ok'!$B$28:$X$28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'DonnéesGraph ok'!$B$32:$X$32</c:f>
              <c:numCache>
                <c:formatCode>0%</c:formatCode>
                <c:ptCount val="23"/>
                <c:pt idx="0">
                  <c:v>7.4594104010863749E-2</c:v>
                </c:pt>
                <c:pt idx="1">
                  <c:v>7.4538724950815857E-2</c:v>
                </c:pt>
                <c:pt idx="2">
                  <c:v>7.3935358992351888E-2</c:v>
                </c:pt>
                <c:pt idx="3">
                  <c:v>7.3595179832343663E-2</c:v>
                </c:pt>
                <c:pt idx="4">
                  <c:v>7.3416881902069159E-2</c:v>
                </c:pt>
                <c:pt idx="5">
                  <c:v>7.3619807070682775E-2</c:v>
                </c:pt>
                <c:pt idx="6">
                  <c:v>7.3991682179952278E-2</c:v>
                </c:pt>
                <c:pt idx="7">
                  <c:v>7.4266613530236447E-2</c:v>
                </c:pt>
                <c:pt idx="8">
                  <c:v>7.4562240327998505E-2</c:v>
                </c:pt>
                <c:pt idx="9">
                  <c:v>7.4903550517940259E-2</c:v>
                </c:pt>
                <c:pt idx="10">
                  <c:v>7.5317398107443687E-2</c:v>
                </c:pt>
                <c:pt idx="11">
                  <c:v>7.5625435488526821E-2</c:v>
                </c:pt>
                <c:pt idx="12">
                  <c:v>7.6125003624949714E-2</c:v>
                </c:pt>
                <c:pt idx="13">
                  <c:v>7.6402765006551021E-2</c:v>
                </c:pt>
                <c:pt idx="14">
                  <c:v>7.6684340592794997E-2</c:v>
                </c:pt>
                <c:pt idx="15">
                  <c:v>7.7191019685781931E-2</c:v>
                </c:pt>
                <c:pt idx="16">
                  <c:v>7.765682047139591E-2</c:v>
                </c:pt>
                <c:pt idx="17">
                  <c:v>7.8154145175005726E-2</c:v>
                </c:pt>
                <c:pt idx="18">
                  <c:v>7.5176647069748095E-2</c:v>
                </c:pt>
                <c:pt idx="19">
                  <c:v>7.5534983302629172E-2</c:v>
                </c:pt>
                <c:pt idx="20">
                  <c:v>7.5588963424373101E-2</c:v>
                </c:pt>
                <c:pt idx="21">
                  <c:v>7.5421915725373406E-2</c:v>
                </c:pt>
                <c:pt idx="22">
                  <c:v>7.1413059768519624E-2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6-4A65-967E-130B53DCA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892400"/>
        <c:axId val="611886496"/>
      </c:lineChart>
      <c:catAx>
        <c:axId val="44295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fr-FR"/>
          </a:p>
        </c:txPr>
        <c:crossAx val="442953096"/>
        <c:crosses val="autoZero"/>
        <c:auto val="1"/>
        <c:lblAlgn val="ctr"/>
        <c:lblOffset val="100"/>
        <c:noMultiLvlLbl val="0"/>
      </c:catAx>
      <c:valAx>
        <c:axId val="44295309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42952312"/>
        <c:crosses val="autoZero"/>
        <c:crossBetween val="between"/>
      </c:valAx>
      <c:valAx>
        <c:axId val="6118864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611892400"/>
        <c:crosses val="max"/>
        <c:crossBetween val="between"/>
      </c:valAx>
      <c:catAx>
        <c:axId val="61189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8864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642008048284159E-3"/>
          <c:y val="0.94658943810034213"/>
          <c:w val="0.89999996771474311"/>
          <c:h val="4.2939357711176157E-2"/>
        </c:manualLayout>
      </c:layout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2363860873356E-2"/>
          <c:y val="2.371735993733767E-2"/>
          <c:w val="0.89527545081787707"/>
          <c:h val="0.91394385125943023"/>
        </c:manualLayout>
      </c:layout>
      <c:lineChart>
        <c:grouping val="standar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shade val="76000"/>
                </a:schemeClr>
              </a:solidFill>
              <a:ln w="9525" cap="flat" cmpd="sng" algn="ctr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0501138216736742E-2"/>
                  <c:y val="5.2356020942408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10-4054-8283-C6D51403D2B6}"/>
                </c:ext>
              </c:extLst>
            </c:dLbl>
            <c:dLbl>
              <c:idx val="11"/>
              <c:layout>
                <c:manualLayout>
                  <c:x val="-3.0068336051213888E-2"/>
                  <c:y val="4.18848167539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10-4054-8283-C6D51403D2B6}"/>
                </c:ext>
              </c:extLst>
            </c:dLbl>
            <c:dLbl>
              <c:idx val="23"/>
              <c:layout>
                <c:manualLayout>
                  <c:x val="-1.3667425477824494E-2"/>
                  <c:y val="3.5602094240837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44-424C-A44B-033670EB95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ok'!$B$3:$Y$3</c:f>
              <c:numCache>
                <c:formatCode>#,##0</c:formatCode>
                <c:ptCount val="24"/>
                <c:pt idx="0">
                  <c:v>687000</c:v>
                </c:pt>
                <c:pt idx="1">
                  <c:v>676390</c:v>
                </c:pt>
                <c:pt idx="2">
                  <c:v>655605</c:v>
                </c:pt>
                <c:pt idx="3">
                  <c:v>636763</c:v>
                </c:pt>
                <c:pt idx="4">
                  <c:v>621931</c:v>
                </c:pt>
                <c:pt idx="5">
                  <c:v>606458</c:v>
                </c:pt>
                <c:pt idx="6">
                  <c:v>584426</c:v>
                </c:pt>
                <c:pt idx="7">
                  <c:v>566430</c:v>
                </c:pt>
                <c:pt idx="8">
                  <c:v>552133</c:v>
                </c:pt>
                <c:pt idx="9">
                  <c:v>537223</c:v>
                </c:pt>
                <c:pt idx="10">
                  <c:v>528375</c:v>
                </c:pt>
                <c:pt idx="11">
                  <c:v>518487</c:v>
                </c:pt>
                <c:pt idx="12">
                  <c:v>513085</c:v>
                </c:pt>
                <c:pt idx="13">
                  <c:v>504510</c:v>
                </c:pt>
                <c:pt idx="14">
                  <c:v>495706</c:v>
                </c:pt>
                <c:pt idx="15">
                  <c:v>485436</c:v>
                </c:pt>
                <c:pt idx="16">
                  <c:v>477593</c:v>
                </c:pt>
                <c:pt idx="17" formatCode="_-* #\ ##0\ _€_-;\-* #\ ##0\ _€_-;_-* &quot;-&quot;??\ _€_-;_-@_-">
                  <c:v>469850</c:v>
                </c:pt>
                <c:pt idx="18" formatCode="_-* #\ ##0\ _€_-;\-* #\ ##0\ _€_-;_-* &quot;-&quot;??\ _€_-;_-@_-">
                  <c:v>460643</c:v>
                </c:pt>
                <c:pt idx="19" formatCode="_-* #\ ##0\ _€_-;\-* #\ ##0\ _€_-;_-* &quot;-&quot;??\ _€_-;_-@_-">
                  <c:v>450417</c:v>
                </c:pt>
                <c:pt idx="20" formatCode="_-* #\ ##0\ _€_-;\-* #\ ##0\ _€_-;_-* &quot;-&quot;??\ _€_-;_-@_-">
                  <c:v>443033</c:v>
                </c:pt>
                <c:pt idx="21" formatCode="_-* #\ ##0\ _€_-;\-* #\ ##0\ _€_-;_-* &quot;-&quot;??\ _€_-;_-@_-">
                  <c:v>436863</c:v>
                </c:pt>
                <c:pt idx="22" formatCode="_-* #\ ##0\ _€_-;\-* #\ ##0\ _€_-;_-* &quot;-&quot;??\ _€_-;_-@_-">
                  <c:v>430081</c:v>
                </c:pt>
                <c:pt idx="23" formatCode="_-* #\ ##0\ _€_-;\-* #\ ##0\ _€_-;_-* &quot;-&quot;??\ _€_-;_-@_-">
                  <c:v>421381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85-4115-B594-F6599937A67A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ln w="28575" cap="rnd" cmpd="sng" algn="ctr">
              <a:solidFill>
                <a:schemeClr val="accent5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tint val="77000"/>
                </a:schemeClr>
              </a:solidFill>
              <a:ln w="9525" cap="flat" cmpd="sng" algn="ctr">
                <a:solidFill>
                  <a:schemeClr val="accent5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3667425477824494E-2"/>
                  <c:y val="6.073298429319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10-4054-8283-C6D51403D2B6}"/>
                </c:ext>
              </c:extLst>
            </c:dLbl>
            <c:dLbl>
              <c:idx val="11"/>
              <c:layout>
                <c:manualLayout>
                  <c:x val="-4.3735761529038485E-2"/>
                  <c:y val="4.8167539267015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10-4054-8283-C6D51403D2B6}"/>
                </c:ext>
              </c:extLst>
            </c:dLbl>
            <c:dLbl>
              <c:idx val="23"/>
              <c:layout>
                <c:manualLayout>
                  <c:x val="-3.2801821146778785E-2"/>
                  <c:y val="4.3979057591623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44-424C-A44B-033670EB95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ok'!$B$18:$Y$18</c:f>
              <c:numCache>
                <c:formatCode>#,##0</c:formatCode>
                <c:ptCount val="24"/>
                <c:pt idx="0">
                  <c:v>1725656</c:v>
                </c:pt>
                <c:pt idx="1">
                  <c:v>1720114</c:v>
                </c:pt>
                <c:pt idx="2">
                  <c:v>1711269</c:v>
                </c:pt>
                <c:pt idx="3">
                  <c:v>1695113</c:v>
                </c:pt>
                <c:pt idx="4">
                  <c:v>1681328</c:v>
                </c:pt>
                <c:pt idx="5">
                  <c:v>1657008</c:v>
                </c:pt>
                <c:pt idx="6">
                  <c:v>1619880</c:v>
                </c:pt>
                <c:pt idx="7">
                  <c:v>1585034</c:v>
                </c:pt>
                <c:pt idx="8">
                  <c:v>1546551</c:v>
                </c:pt>
                <c:pt idx="9">
                  <c:v>1494524</c:v>
                </c:pt>
                <c:pt idx="10">
                  <c:v>1455707</c:v>
                </c:pt>
                <c:pt idx="11">
                  <c:v>1422009</c:v>
                </c:pt>
                <c:pt idx="12">
                  <c:v>1393433</c:v>
                </c:pt>
                <c:pt idx="13">
                  <c:v>1361021</c:v>
                </c:pt>
                <c:pt idx="14">
                  <c:v>1332265</c:v>
                </c:pt>
                <c:pt idx="15">
                  <c:v>1297304.0902824686</c:v>
                </c:pt>
                <c:pt idx="16">
                  <c:v>1262089</c:v>
                </c:pt>
                <c:pt idx="17">
                  <c:v>1222252</c:v>
                </c:pt>
                <c:pt idx="18">
                  <c:v>1181655</c:v>
                </c:pt>
                <c:pt idx="19">
                  <c:v>1142251</c:v>
                </c:pt>
                <c:pt idx="20">
                  <c:v>1105362</c:v>
                </c:pt>
                <c:pt idx="21">
                  <c:v>1062308</c:v>
                </c:pt>
                <c:pt idx="22">
                  <c:v>1023825</c:v>
                </c:pt>
                <c:pt idx="23">
                  <c:v>989168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5-4115-B594-F6599937A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54272"/>
        <c:axId val="442951528"/>
      </c:lineChart>
      <c:catAx>
        <c:axId val="4429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951528"/>
        <c:crosses val="autoZero"/>
        <c:auto val="1"/>
        <c:lblAlgn val="ctr"/>
        <c:lblOffset val="100"/>
        <c:noMultiLvlLbl val="0"/>
      </c:catAx>
      <c:valAx>
        <c:axId val="442951528"/>
        <c:scaling>
          <c:orientation val="minMax"/>
          <c:max val="20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42954272"/>
        <c:crosses val="autoZero"/>
        <c:crossBetween val="between"/>
        <c:majorUnit val="2000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3223207091056"/>
          <c:y val="2.8281298808055896E-2"/>
          <c:w val="0.881993875906527"/>
          <c:h val="0.85127332511302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'Compléter avc fascic acompte ok'!$B$1:$X$1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'Compléter avc fascic acompte ok'!$B$3:$X$3</c:f>
              <c:numCache>
                <c:formatCode>#,##0</c:formatCode>
                <c:ptCount val="23"/>
                <c:pt idx="0">
                  <c:v>687000</c:v>
                </c:pt>
                <c:pt idx="1">
                  <c:v>676390</c:v>
                </c:pt>
                <c:pt idx="2">
                  <c:v>655605</c:v>
                </c:pt>
                <c:pt idx="3">
                  <c:v>636763</c:v>
                </c:pt>
                <c:pt idx="4">
                  <c:v>621931</c:v>
                </c:pt>
                <c:pt idx="5">
                  <c:v>606458</c:v>
                </c:pt>
                <c:pt idx="6">
                  <c:v>584426</c:v>
                </c:pt>
                <c:pt idx="7">
                  <c:v>566430</c:v>
                </c:pt>
                <c:pt idx="8">
                  <c:v>552133</c:v>
                </c:pt>
                <c:pt idx="9">
                  <c:v>537223</c:v>
                </c:pt>
                <c:pt idx="10">
                  <c:v>528375</c:v>
                </c:pt>
                <c:pt idx="11">
                  <c:v>518487</c:v>
                </c:pt>
                <c:pt idx="12">
                  <c:v>513085</c:v>
                </c:pt>
                <c:pt idx="13">
                  <c:v>504510</c:v>
                </c:pt>
                <c:pt idx="14">
                  <c:v>495706</c:v>
                </c:pt>
                <c:pt idx="15">
                  <c:v>485436</c:v>
                </c:pt>
                <c:pt idx="16">
                  <c:v>477593</c:v>
                </c:pt>
                <c:pt idx="17" formatCode="_-* #\ ##0\ _€_-;\-* #\ ##0\ _€_-;_-* &quot;-&quot;??\ _€_-;_-@_-">
                  <c:v>469850</c:v>
                </c:pt>
                <c:pt idx="18" formatCode="_-* #\ ##0\ _€_-;\-* #\ ##0\ _€_-;_-* &quot;-&quot;??\ _€_-;_-@_-">
                  <c:v>460643</c:v>
                </c:pt>
                <c:pt idx="19" formatCode="_-* #\ ##0\ _€_-;\-* #\ ##0\ _€_-;_-* &quot;-&quot;??\ _€_-;_-@_-">
                  <c:v>450417</c:v>
                </c:pt>
                <c:pt idx="20" formatCode="_-* #\ ##0\ _€_-;\-* #\ ##0\ _€_-;_-* &quot;-&quot;??\ _€_-;_-@_-">
                  <c:v>443033</c:v>
                </c:pt>
                <c:pt idx="21" formatCode="_-* #\ ##0\ _€_-;\-* #\ ##0\ _€_-;_-* &quot;-&quot;??\ _€_-;_-@_-">
                  <c:v>436863</c:v>
                </c:pt>
                <c:pt idx="22" formatCode="_-* #\ ##0\ _€_-;\-* #\ ##0\ _€_-;_-* &quot;-&quot;??\ _€_-;_-@_-">
                  <c:v>430081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F-4E82-A0B2-230B9D84FF4D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'Compléter avc fascic acompte ok'!$B$1:$X$1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'Compléter avc fascic acompte ok'!$B$18:$X$18</c:f>
              <c:numCache>
                <c:formatCode>#,##0</c:formatCode>
                <c:ptCount val="23"/>
                <c:pt idx="0">
                  <c:v>1725656</c:v>
                </c:pt>
                <c:pt idx="1">
                  <c:v>1720114</c:v>
                </c:pt>
                <c:pt idx="2">
                  <c:v>1711269</c:v>
                </c:pt>
                <c:pt idx="3">
                  <c:v>1695113</c:v>
                </c:pt>
                <c:pt idx="4">
                  <c:v>1681328</c:v>
                </c:pt>
                <c:pt idx="5">
                  <c:v>1657008</c:v>
                </c:pt>
                <c:pt idx="6">
                  <c:v>1619880</c:v>
                </c:pt>
                <c:pt idx="7">
                  <c:v>1585034</c:v>
                </c:pt>
                <c:pt idx="8">
                  <c:v>1546551</c:v>
                </c:pt>
                <c:pt idx="9">
                  <c:v>1494524</c:v>
                </c:pt>
                <c:pt idx="10">
                  <c:v>1455707</c:v>
                </c:pt>
                <c:pt idx="11">
                  <c:v>1422009</c:v>
                </c:pt>
                <c:pt idx="12">
                  <c:v>1393433</c:v>
                </c:pt>
                <c:pt idx="13">
                  <c:v>1361021</c:v>
                </c:pt>
                <c:pt idx="14">
                  <c:v>1332265</c:v>
                </c:pt>
                <c:pt idx="15">
                  <c:v>1297304.0902824686</c:v>
                </c:pt>
                <c:pt idx="16">
                  <c:v>1262089</c:v>
                </c:pt>
                <c:pt idx="17">
                  <c:v>1222252</c:v>
                </c:pt>
                <c:pt idx="18">
                  <c:v>1181655</c:v>
                </c:pt>
                <c:pt idx="19">
                  <c:v>1142251</c:v>
                </c:pt>
                <c:pt idx="20">
                  <c:v>1105362</c:v>
                </c:pt>
                <c:pt idx="21">
                  <c:v>1062308</c:v>
                </c:pt>
                <c:pt idx="22">
                  <c:v>1023825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F-4E82-A0B2-230B9D84F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56520"/>
        <c:axId val="443811440"/>
      </c:barChart>
      <c:lineChart>
        <c:grouping val="standard"/>
        <c:varyColors val="0"/>
        <c:ser>
          <c:idx val="2"/>
          <c:order val="2"/>
          <c:tx>
            <c:strRef>
              <c:f>'Effectifs ok'!$A$36</c:f>
              <c:strCache>
                <c:ptCount val="1"/>
                <c:pt idx="0">
                  <c:v>RAPPORT DEMOG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5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numFmt formatCode="#,##0.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'Effectifs ok'!$B$39:$X$39</c:f>
              <c:numCache>
                <c:formatCode>#\ ##0.0</c:formatCode>
                <c:ptCount val="23"/>
                <c:pt idx="0">
                  <c:v>2.5118719068413391</c:v>
                </c:pt>
                <c:pt idx="1">
                  <c:v>2.5430801756383152</c:v>
                </c:pt>
                <c:pt idx="2">
                  <c:v>2.6102134669503743</c:v>
                </c:pt>
                <c:pt idx="3">
                  <c:v>2.6620783556833549</c:v>
                </c:pt>
                <c:pt idx="4">
                  <c:v>2.7033995732645582</c:v>
                </c:pt>
                <c:pt idx="5">
                  <c:v>2.7322716494794363</c:v>
                </c:pt>
                <c:pt idx="6">
                  <c:v>2.7717452680065571</c:v>
                </c:pt>
                <c:pt idx="7">
                  <c:v>2.7982875200819164</c:v>
                </c:pt>
                <c:pt idx="8">
                  <c:v>2.8010479359139917</c:v>
                </c:pt>
                <c:pt idx="9">
                  <c:v>2.7819434387582067</c:v>
                </c:pt>
                <c:pt idx="10" formatCode="0.0">
                  <c:v>2.7550641116631183</c:v>
                </c:pt>
                <c:pt idx="11" formatCode="0.0">
                  <c:v>2.7426126402397744</c:v>
                </c:pt>
                <c:pt idx="12" formatCode="0.0">
                  <c:v>2.7157936794098445</c:v>
                </c:pt>
                <c:pt idx="13" formatCode="0.0">
                  <c:v>2.6977086678162969</c:v>
                </c:pt>
                <c:pt idx="14" formatCode="0.0">
                  <c:v>2.6876112050287873</c:v>
                </c:pt>
                <c:pt idx="15" formatCode="0.0">
                  <c:v>2.6724513432923569</c:v>
                </c:pt>
                <c:pt idx="16" formatCode="0.0">
                  <c:v>2.642603639500579</c:v>
                </c:pt>
                <c:pt idx="17" formatCode="0.0">
                  <c:v>2.6013663935298501</c:v>
                </c:pt>
                <c:pt idx="18" formatCode="0.0">
                  <c:v>2.5652294727153131</c:v>
                </c:pt>
                <c:pt idx="19" formatCode="0.0">
                  <c:v>2.5359855422863702</c:v>
                </c:pt>
                <c:pt idx="20" formatCode="0.00">
                  <c:v>2.4949879580076426</c:v>
                </c:pt>
                <c:pt idx="21" formatCode="0.00">
                  <c:v>2.4316730874438899</c:v>
                </c:pt>
                <c:pt idx="22" formatCode="0.00">
                  <c:v>2.3805399448010958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8F-4E82-A0B2-230B9D84F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08304"/>
        <c:axId val="443810656"/>
      </c:lineChart>
      <c:catAx>
        <c:axId val="44255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11440"/>
        <c:crosses val="autoZero"/>
        <c:auto val="1"/>
        <c:lblAlgn val="ctr"/>
        <c:lblOffset val="100"/>
        <c:noMultiLvlLbl val="0"/>
      </c:catAx>
      <c:valAx>
        <c:axId val="443811440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56520"/>
        <c:crosses val="autoZero"/>
        <c:crossBetween val="between"/>
        <c:majorUnit val="200000"/>
      </c:valAx>
      <c:valAx>
        <c:axId val="443810656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i="1">
                    <a:solidFill>
                      <a:srgbClr val="C00000"/>
                    </a:solidFill>
                  </a:rPr>
                  <a:t>Nombre de retraités pour un cotisant</a:t>
                </a:r>
              </a:p>
            </c:rich>
          </c:tx>
          <c:layout>
            <c:manualLayout>
              <c:xMode val="edge"/>
              <c:yMode val="edge"/>
              <c:x val="0.97714526654546785"/>
              <c:y val="0.52316626128540211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08304"/>
        <c:crosses val="max"/>
        <c:crossBetween val="between"/>
        <c:majorUnit val="0.5"/>
      </c:valAx>
      <c:catAx>
        <c:axId val="44380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8106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7818231204841775E-3"/>
          <c:y val="0.96124912396421647"/>
          <c:w val="0.989903216332638"/>
          <c:h val="2.6185431009605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23866252080919E-2"/>
          <c:y val="3.0000082450426679E-2"/>
          <c:w val="0.89527545081787707"/>
          <c:h val="0.91782528754586301"/>
        </c:manualLayout>
      </c:layout>
      <c:lineChart>
        <c:grouping val="standar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shade val="76000"/>
                </a:schemeClr>
              </a:solidFill>
              <a:ln w="9525" cap="flat" cmpd="sng" algn="ctr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3667425477824494E-2"/>
                  <c:y val="4.816753926701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F50-BE82-50BFA8F8B82B}"/>
                </c:ext>
              </c:extLst>
            </c:dLbl>
            <c:dLbl>
              <c:idx val="11"/>
              <c:layout>
                <c:manualLayout>
                  <c:x val="-2.3234623312301642E-2"/>
                  <c:y val="-2.51308900523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F50-BE82-50BFA8F8B82B}"/>
                </c:ext>
              </c:extLst>
            </c:dLbl>
            <c:dLbl>
              <c:idx val="23"/>
              <c:layout>
                <c:manualLayout>
                  <c:x val="-5.4669701911297976E-3"/>
                  <c:y val="-3.9790575916230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A-495D-95D6-7559E6837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ok'!$B$2:$Y$2</c:f>
              <c:numCache>
                <c:formatCode>#,##0</c:formatCode>
                <c:ptCount val="24"/>
                <c:pt idx="0">
                  <c:v>659519</c:v>
                </c:pt>
                <c:pt idx="1">
                  <c:v>676723</c:v>
                </c:pt>
                <c:pt idx="2">
                  <c:v>678769</c:v>
                </c:pt>
                <c:pt idx="3">
                  <c:v>744019</c:v>
                </c:pt>
                <c:pt idx="4">
                  <c:v>725525</c:v>
                </c:pt>
                <c:pt idx="5">
                  <c:v>723171</c:v>
                </c:pt>
                <c:pt idx="6">
                  <c:v>715348</c:v>
                </c:pt>
                <c:pt idx="7">
                  <c:v>711599</c:v>
                </c:pt>
                <c:pt idx="8">
                  <c:v>712279</c:v>
                </c:pt>
                <c:pt idx="9">
                  <c:v>715909.85795642762</c:v>
                </c:pt>
                <c:pt idx="10">
                  <c:v>709842.13447587076</c:v>
                </c:pt>
                <c:pt idx="11">
                  <c:v>684350.19724672846</c:v>
                </c:pt>
                <c:pt idx="12">
                  <c:v>683429</c:v>
                </c:pt>
                <c:pt idx="13">
                  <c:v>691466</c:v>
                </c:pt>
                <c:pt idx="14">
                  <c:v>713151</c:v>
                </c:pt>
                <c:pt idx="15">
                  <c:v>723966</c:v>
                </c:pt>
                <c:pt idx="16">
                  <c:v>733492</c:v>
                </c:pt>
                <c:pt idx="17" formatCode="_-* #\ ##0\ _€_-;\-* #\ ##0\ _€_-;_-* &quot;-&quot;??\ _€_-;_-@_-">
                  <c:v>737026</c:v>
                </c:pt>
                <c:pt idx="18" formatCode="_-* #\ ##0\ _€_-;\-* #\ ##0\ _€_-;_-* &quot;-&quot;??\ _€_-;_-@_-">
                  <c:v>752765</c:v>
                </c:pt>
                <c:pt idx="19" formatCode="_-* #\ ##0\ _€_-;\-* #\ ##0\ _€_-;_-* &quot;-&quot;??\ _€_-;_-@_-">
                  <c:v>788220</c:v>
                </c:pt>
                <c:pt idx="20" formatCode="_-* #\ ##0\ _€_-;\-* #\ ##0\ _€_-;_-* &quot;-&quot;??\ _€_-;_-@_-">
                  <c:v>790190</c:v>
                </c:pt>
                <c:pt idx="21" formatCode="_-* #\ ##0\ _€_-;\-* #\ ##0\ _€_-;_-* &quot;-&quot;??\ _€_-;_-@_-">
                  <c:v>821500</c:v>
                </c:pt>
                <c:pt idx="22" formatCode="_-* #\ ##0\ _€_-;\-* #\ ##0\ _€_-;_-* &quot;-&quot;??\ _€_-;_-@_-">
                  <c:v>836158</c:v>
                </c:pt>
                <c:pt idx="23" formatCode="_-* #\ ##0\ _€_-;\-* #\ ##0\ _€_-;_-* &quot;-&quot;??\ _€_-;_-@_-">
                  <c:v>827199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1-4144-B4B3-A05060404238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ln w="28575" cap="rnd" cmpd="sng" algn="ctr">
              <a:solidFill>
                <a:schemeClr val="accent5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tint val="77000"/>
                </a:schemeClr>
              </a:solidFill>
              <a:ln w="9525" cap="flat" cmpd="sng" algn="ctr">
                <a:solidFill>
                  <a:schemeClr val="accent5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0933940382259595E-2"/>
                  <c:y val="4.18848167539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F50-BE82-50BFA8F8B82B}"/>
                </c:ext>
              </c:extLst>
            </c:dLbl>
            <c:dLbl>
              <c:idx val="11"/>
              <c:layout>
                <c:manualLayout>
                  <c:x val="-3.6902048790126138E-2"/>
                  <c:y val="3.5602094240837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F50-BE82-50BFA8F8B82B}"/>
                </c:ext>
              </c:extLst>
            </c:dLbl>
            <c:dLbl>
              <c:idx val="23"/>
              <c:layout>
                <c:manualLayout>
                  <c:x val="-1.3667425477824494E-3"/>
                  <c:y val="-5.654450261780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A-495D-95D6-7559E6837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ok'!$B$17:$Y$17</c:f>
              <c:numCache>
                <c:formatCode>#,##0</c:formatCode>
                <c:ptCount val="24"/>
                <c:pt idx="0">
                  <c:v>1497643</c:v>
                </c:pt>
                <c:pt idx="1">
                  <c:v>1521309</c:v>
                </c:pt>
                <c:pt idx="2">
                  <c:v>1538120</c:v>
                </c:pt>
                <c:pt idx="3">
                  <c:v>1555566</c:v>
                </c:pt>
                <c:pt idx="4">
                  <c:v>1560620</c:v>
                </c:pt>
                <c:pt idx="5">
                  <c:v>1568923</c:v>
                </c:pt>
                <c:pt idx="6">
                  <c:v>1562663</c:v>
                </c:pt>
                <c:pt idx="7">
                  <c:v>1557322</c:v>
                </c:pt>
                <c:pt idx="8">
                  <c:v>1550431</c:v>
                </c:pt>
                <c:pt idx="9">
                  <c:v>1546179</c:v>
                </c:pt>
                <c:pt idx="10">
                  <c:v>1532610</c:v>
                </c:pt>
                <c:pt idx="11">
                  <c:v>1549282</c:v>
                </c:pt>
                <c:pt idx="12">
                  <c:v>1561833</c:v>
                </c:pt>
                <c:pt idx="13">
                  <c:v>1578933</c:v>
                </c:pt>
                <c:pt idx="14">
                  <c:v>1606041</c:v>
                </c:pt>
                <c:pt idx="15">
                  <c:v>1627138.1018825478</c:v>
                </c:pt>
                <c:pt idx="16">
                  <c:v>1650636</c:v>
                </c:pt>
                <c:pt idx="17">
                  <c:v>1665372</c:v>
                </c:pt>
                <c:pt idx="18">
                  <c:v>1685926</c:v>
                </c:pt>
                <c:pt idx="19">
                  <c:v>1701721</c:v>
                </c:pt>
                <c:pt idx="20">
                  <c:v>1710286</c:v>
                </c:pt>
                <c:pt idx="21">
                  <c:v>1679951</c:v>
                </c:pt>
                <c:pt idx="22">
                  <c:v>1655898</c:v>
                </c:pt>
                <c:pt idx="23">
                  <c:v>1621516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D1-4144-B4B3-A0506040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54168"/>
        <c:axId val="442554560"/>
      </c:lineChart>
      <c:catAx>
        <c:axId val="44255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54560"/>
        <c:crosses val="autoZero"/>
        <c:auto val="1"/>
        <c:lblAlgn val="ctr"/>
        <c:lblOffset val="100"/>
        <c:noMultiLvlLbl val="0"/>
      </c:catAx>
      <c:valAx>
        <c:axId val="442554560"/>
        <c:scaling>
          <c:orientation val="minMax"/>
          <c:max val="20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42554168"/>
        <c:crosses val="autoZero"/>
        <c:crossBetween val="between"/>
        <c:majorUnit val="2000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3223207091056"/>
          <c:y val="2.8281298808055896E-2"/>
          <c:w val="0.881993875906527"/>
          <c:h val="0.85127332511302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ok'!$B$2:$Y$2</c:f>
              <c:numCache>
                <c:formatCode>#,##0</c:formatCode>
                <c:ptCount val="24"/>
                <c:pt idx="0">
                  <c:v>659519</c:v>
                </c:pt>
                <c:pt idx="1">
                  <c:v>676723</c:v>
                </c:pt>
                <c:pt idx="2">
                  <c:v>678769</c:v>
                </c:pt>
                <c:pt idx="3">
                  <c:v>744019</c:v>
                </c:pt>
                <c:pt idx="4">
                  <c:v>725525</c:v>
                </c:pt>
                <c:pt idx="5">
                  <c:v>723171</c:v>
                </c:pt>
                <c:pt idx="6">
                  <c:v>715348</c:v>
                </c:pt>
                <c:pt idx="7">
                  <c:v>711599</c:v>
                </c:pt>
                <c:pt idx="8">
                  <c:v>712279</c:v>
                </c:pt>
                <c:pt idx="9">
                  <c:v>715909.85795642762</c:v>
                </c:pt>
                <c:pt idx="10">
                  <c:v>709842.13447587076</c:v>
                </c:pt>
                <c:pt idx="11">
                  <c:v>684350.19724672846</c:v>
                </c:pt>
                <c:pt idx="12">
                  <c:v>683429</c:v>
                </c:pt>
                <c:pt idx="13">
                  <c:v>691466</c:v>
                </c:pt>
                <c:pt idx="14">
                  <c:v>713151</c:v>
                </c:pt>
                <c:pt idx="15">
                  <c:v>723966</c:v>
                </c:pt>
                <c:pt idx="16">
                  <c:v>733492</c:v>
                </c:pt>
                <c:pt idx="17" formatCode="_-* #\ ##0\ _€_-;\-* #\ ##0\ _€_-;_-* &quot;-&quot;??\ _€_-;_-@_-">
                  <c:v>737026</c:v>
                </c:pt>
                <c:pt idx="18" formatCode="_-* #\ ##0\ _€_-;\-* #\ ##0\ _€_-;_-* &quot;-&quot;??\ _€_-;_-@_-">
                  <c:v>752765</c:v>
                </c:pt>
                <c:pt idx="19" formatCode="_-* #\ ##0\ _€_-;\-* #\ ##0\ _€_-;_-* &quot;-&quot;??\ _€_-;_-@_-">
                  <c:v>788220</c:v>
                </c:pt>
                <c:pt idx="20" formatCode="_-* #\ ##0\ _€_-;\-* #\ ##0\ _€_-;_-* &quot;-&quot;??\ _€_-;_-@_-">
                  <c:v>790190</c:v>
                </c:pt>
                <c:pt idx="21" formatCode="_-* #\ ##0\ _€_-;\-* #\ ##0\ _€_-;_-* &quot;-&quot;??\ _€_-;_-@_-">
                  <c:v>821500</c:v>
                </c:pt>
                <c:pt idx="22" formatCode="_-* #\ ##0\ _€_-;\-* #\ ##0\ _€_-;_-* &quot;-&quot;??\ _€_-;_-@_-">
                  <c:v>836158</c:v>
                </c:pt>
                <c:pt idx="23" formatCode="_-* #\ ##0\ _€_-;\-* #\ ##0\ _€_-;_-* &quot;-&quot;??\ _€_-;_-@_-">
                  <c:v>827199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B-497F-A1E1-A6A9B0577B08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ok'!$B$17:$Y$17</c:f>
              <c:numCache>
                <c:formatCode>#,##0</c:formatCode>
                <c:ptCount val="24"/>
                <c:pt idx="0">
                  <c:v>1497643</c:v>
                </c:pt>
                <c:pt idx="1">
                  <c:v>1521309</c:v>
                </c:pt>
                <c:pt idx="2">
                  <c:v>1538120</c:v>
                </c:pt>
                <c:pt idx="3">
                  <c:v>1555566</c:v>
                </c:pt>
                <c:pt idx="4">
                  <c:v>1560620</c:v>
                </c:pt>
                <c:pt idx="5">
                  <c:v>1568923</c:v>
                </c:pt>
                <c:pt idx="6">
                  <c:v>1562663</c:v>
                </c:pt>
                <c:pt idx="7">
                  <c:v>1557322</c:v>
                </c:pt>
                <c:pt idx="8">
                  <c:v>1550431</c:v>
                </c:pt>
                <c:pt idx="9">
                  <c:v>1546179</c:v>
                </c:pt>
                <c:pt idx="10">
                  <c:v>1532610</c:v>
                </c:pt>
                <c:pt idx="11">
                  <c:v>1549282</c:v>
                </c:pt>
                <c:pt idx="12">
                  <c:v>1561833</c:v>
                </c:pt>
                <c:pt idx="13">
                  <c:v>1578933</c:v>
                </c:pt>
                <c:pt idx="14">
                  <c:v>1606041</c:v>
                </c:pt>
                <c:pt idx="15">
                  <c:v>1627138.1018825478</c:v>
                </c:pt>
                <c:pt idx="16">
                  <c:v>1650636</c:v>
                </c:pt>
                <c:pt idx="17">
                  <c:v>1665372</c:v>
                </c:pt>
                <c:pt idx="18">
                  <c:v>1685926</c:v>
                </c:pt>
                <c:pt idx="19">
                  <c:v>1701721</c:v>
                </c:pt>
                <c:pt idx="20">
                  <c:v>1710286</c:v>
                </c:pt>
                <c:pt idx="21">
                  <c:v>1679951</c:v>
                </c:pt>
                <c:pt idx="22">
                  <c:v>1655898</c:v>
                </c:pt>
                <c:pt idx="23">
                  <c:v>1621516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B-497F-A1E1-A6A9B057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56520"/>
        <c:axId val="443811440"/>
      </c:barChart>
      <c:lineChart>
        <c:grouping val="standard"/>
        <c:varyColors val="0"/>
        <c:ser>
          <c:idx val="2"/>
          <c:order val="2"/>
          <c:tx>
            <c:strRef>
              <c:f>'Effectifs ok'!$A$36</c:f>
              <c:strCache>
                <c:ptCount val="1"/>
                <c:pt idx="0">
                  <c:v>RAPPORT DEMOG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5">
                    <a:tint val="65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numFmt formatCode="#,##0.0" sourceLinked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'Effectifs ok'!$B$38:$Y$38</c:f>
              <c:numCache>
                <c:formatCode>#\ ##0.0</c:formatCode>
                <c:ptCount val="24"/>
                <c:pt idx="0">
                  <c:v>2.2708110001379795</c:v>
                </c:pt>
                <c:pt idx="1">
                  <c:v>2.2480527483179973</c:v>
                </c:pt>
                <c:pt idx="2">
                  <c:v>2.2660433814744043</c:v>
                </c:pt>
                <c:pt idx="3">
                  <c:v>2.0907611230358363</c:v>
                </c:pt>
                <c:pt idx="4">
                  <c:v>2.1510216739602357</c:v>
                </c:pt>
                <c:pt idx="5">
                  <c:v>2.1695048612292251</c:v>
                </c:pt>
                <c:pt idx="6">
                  <c:v>2.1844794421735996</c:v>
                </c:pt>
                <c:pt idx="7">
                  <c:v>2.18848255829477</c:v>
                </c:pt>
                <c:pt idx="8">
                  <c:v>2.1767186734411657</c:v>
                </c:pt>
                <c:pt idx="9">
                  <c:v>2.1597397812255088</c:v>
                </c:pt>
                <c:pt idx="10" formatCode="0.0">
                  <c:v>2.1590856974581256</c:v>
                </c:pt>
                <c:pt idx="11" formatCode="0.0">
                  <c:v>2.2638730963080853</c:v>
                </c:pt>
                <c:pt idx="12" formatCode="0.0">
                  <c:v>2.2852893277867929</c:v>
                </c:pt>
                <c:pt idx="13" formatCode="0.0">
                  <c:v>2.283457176491686</c:v>
                </c:pt>
                <c:pt idx="14" formatCode="0.0">
                  <c:v>2.2520349827736341</c:v>
                </c:pt>
                <c:pt idx="15" formatCode="0.0">
                  <c:v>2.2475338646877723</c:v>
                </c:pt>
                <c:pt idx="16" formatCode="0.0">
                  <c:v>2.2503803722467319</c:v>
                </c:pt>
                <c:pt idx="17" formatCode="0.0">
                  <c:v>2.2595837867320827</c:v>
                </c:pt>
                <c:pt idx="18" formatCode="0.0">
                  <c:v>2.2396445105710283</c:v>
                </c:pt>
                <c:pt idx="19" formatCode="0.0">
                  <c:v>2.1589416660323262</c:v>
                </c:pt>
                <c:pt idx="20" formatCode="0.00">
                  <c:v>2.1643984358192334</c:v>
                </c:pt>
                <c:pt idx="21" formatCode="0.00">
                  <c:v>2.0449799147900181</c:v>
                </c:pt>
                <c:pt idx="22" formatCode="0.00">
                  <c:v>1.9803649549487059</c:v>
                </c:pt>
                <c:pt idx="23" formatCode="0.00">
                  <c:v>1.9602489848271094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FB-497F-A1E1-A6A9B057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08304"/>
        <c:axId val="443810656"/>
      </c:lineChart>
      <c:catAx>
        <c:axId val="44255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11440"/>
        <c:crosses val="autoZero"/>
        <c:auto val="1"/>
        <c:lblAlgn val="ctr"/>
        <c:lblOffset val="100"/>
        <c:noMultiLvlLbl val="0"/>
      </c:catAx>
      <c:valAx>
        <c:axId val="443811440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2556520"/>
        <c:crosses val="autoZero"/>
        <c:crossBetween val="between"/>
        <c:majorUnit val="200000"/>
      </c:valAx>
      <c:valAx>
        <c:axId val="443810656"/>
        <c:scaling>
          <c:orientation val="minMax"/>
          <c:max val="3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i="1">
                    <a:solidFill>
                      <a:srgbClr val="C00000"/>
                    </a:solidFill>
                  </a:rPr>
                  <a:t>Nombre de retraités pour un cotisant</a:t>
                </a:r>
              </a:p>
            </c:rich>
          </c:tx>
          <c:layout>
            <c:manualLayout>
              <c:xMode val="edge"/>
              <c:yMode val="edge"/>
              <c:x val="0.97714526654546785"/>
              <c:y val="0.52316626128540211"/>
            </c:manualLayout>
          </c:layout>
          <c:overlay val="0"/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08304"/>
        <c:crosses val="max"/>
        <c:crossBetween val="between"/>
        <c:majorUnit val="0.5"/>
      </c:valAx>
      <c:catAx>
        <c:axId val="44380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8106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5496640145112754"/>
          <c:w val="1"/>
          <c:h val="4.5033598548872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'Compléter avc fascic acompte ok'!$A$1</c:f>
              <c:strCache>
                <c:ptCount val="1"/>
                <c:pt idx="0">
                  <c:v>Cotisants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7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shade val="76000"/>
                </a:schemeClr>
              </a:solidFill>
              <a:ln w="9525" cap="flat" cmpd="sng" algn="ctr">
                <a:solidFill>
                  <a:schemeClr val="accent5">
                    <a:shade val="7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5034168025606932E-2"/>
                  <c:y val="-4.607329842931937E-2"/>
                </c:manualLayout>
              </c:layout>
              <c:tx>
                <c:rich>
                  <a:bodyPr/>
                  <a:lstStyle/>
                  <a:p>
                    <a:fld id="{C044C54E-CE43-48AF-ADF4-B28208BFE98B}" type="VALUE"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pPr/>
                      <a:t>[VALEUR]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D6-447D-8197-594195CE0775}"/>
                </c:ext>
              </c:extLst>
            </c:dLbl>
            <c:dLbl>
              <c:idx val="15"/>
              <c:layout>
                <c:manualLayout>
                  <c:x val="-4.9202731720168182E-2"/>
                  <c:y val="-5.445026178010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D6-447D-8197-594195CE0775}"/>
                </c:ext>
              </c:extLst>
            </c:dLbl>
            <c:dLbl>
              <c:idx val="23"/>
              <c:layout>
                <c:manualLayout>
                  <c:x val="0"/>
                  <c:y val="5.0261780104712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5-4082-B0A1-04258793B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ok'!$B$5:$Y$5</c:f>
              <c:numCache>
                <c:formatCode>#,##0</c:formatCode>
                <c:ptCount val="24"/>
                <c:pt idx="0">
                  <c:v>1113157</c:v>
                </c:pt>
                <c:pt idx="1">
                  <c:v>1128987</c:v>
                </c:pt>
                <c:pt idx="2">
                  <c:v>1125443</c:v>
                </c:pt>
                <c:pt idx="3">
                  <c:v>1158735</c:v>
                </c:pt>
                <c:pt idx="4">
                  <c:v>1201328</c:v>
                </c:pt>
                <c:pt idx="5">
                  <c:v>1246491</c:v>
                </c:pt>
                <c:pt idx="6">
                  <c:v>1229029</c:v>
                </c:pt>
                <c:pt idx="7">
                  <c:v>1273269</c:v>
                </c:pt>
                <c:pt idx="8">
                  <c:v>1342154</c:v>
                </c:pt>
                <c:pt idx="9">
                  <c:v>1343136.4975189632</c:v>
                </c:pt>
                <c:pt idx="10">
                  <c:v>1437926</c:v>
                </c:pt>
                <c:pt idx="11">
                  <c:v>1500537.3238065001</c:v>
                </c:pt>
                <c:pt idx="12">
                  <c:v>1468021</c:v>
                </c:pt>
                <c:pt idx="13">
                  <c:v>1459787</c:v>
                </c:pt>
                <c:pt idx="14">
                  <c:v>1420137</c:v>
                </c:pt>
                <c:pt idx="15">
                  <c:v>1394972</c:v>
                </c:pt>
                <c:pt idx="16">
                  <c:v>1537888</c:v>
                </c:pt>
                <c:pt idx="17" formatCode="_-* #\ ##0\ _€_-;\-* #\ ##0\ _€_-;_-* &quot;-&quot;??\ _€_-;_-@_-">
                  <c:v>1684451</c:v>
                </c:pt>
                <c:pt idx="18" formatCode="_-* #\ ##0\ _€_-;\-* #\ ##0\ _€_-;_-* &quot;-&quot;??\ _€_-;_-@_-">
                  <c:v>1753519</c:v>
                </c:pt>
                <c:pt idx="19" formatCode="_-* #\ ##0\ _€_-;\-* #\ ##0\ _€_-;_-* &quot;-&quot;??\ _€_-;_-@_-">
                  <c:v>1999392</c:v>
                </c:pt>
                <c:pt idx="20" formatCode="_-* #\ ##0\ _€_-;\-* #\ ##0\ _€_-;_-* &quot;-&quot;??\ _€_-;_-@_-">
                  <c:v>2174424</c:v>
                </c:pt>
                <c:pt idx="21" formatCode="_-* #\ ##0\ _€_-;\-* #\ ##0\ _€_-;_-* &quot;-&quot;??\ _€_-;_-@_-">
                  <c:v>2447941</c:v>
                </c:pt>
                <c:pt idx="22" formatCode="_-* #\ ##0\ _€_-;\-* #\ ##0\ _€_-;_-* &quot;-&quot;??\ _€_-;_-@_-">
                  <c:v>2618226</c:v>
                </c:pt>
                <c:pt idx="23" formatCode="_-* #\ ##0\ _€_-;\-* #\ ##0\ _€_-;_-* &quot;-&quot;??\ _€_-;_-@_-">
                  <c:v>2746002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D-4321-BF42-C972A28962B0}"/>
            </c:ext>
          </c:extLst>
        </c:ser>
        <c:ser>
          <c:idx val="1"/>
          <c:order val="1"/>
          <c:tx>
            <c:strRef>
              <c:f>'Compléter avc fascic acompte ok'!$A$16</c:f>
              <c:strCache>
                <c:ptCount val="1"/>
                <c:pt idx="0">
                  <c:v>Retraités de 65 ans et plus</c:v>
                </c:pt>
              </c:strCache>
            </c:strRef>
          </c:tx>
          <c:spPr>
            <a:ln w="28575" cap="rnd" cmpd="sng" algn="ctr">
              <a:solidFill>
                <a:schemeClr val="accent5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>
                  <a:tint val="77000"/>
                </a:schemeClr>
              </a:solidFill>
              <a:ln w="9525" cap="flat" cmpd="sng" algn="ctr">
                <a:solidFill>
                  <a:schemeClr val="accent5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3234623312301642E-2"/>
                  <c:y val="5.445026178010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D6-447D-8197-594195CE0775}"/>
                </c:ext>
              </c:extLst>
            </c:dLbl>
            <c:dLbl>
              <c:idx val="15"/>
              <c:layout>
                <c:manualLayout>
                  <c:x val="-5.330295936351543E-2"/>
                  <c:y val="6.2827225130890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6-447D-8197-594195CE0775}"/>
                </c:ext>
              </c:extLst>
            </c:dLbl>
            <c:dLbl>
              <c:idx val="23"/>
              <c:layout>
                <c:manualLayout>
                  <c:x val="0"/>
                  <c:y val="-3.769633507853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5-4082-B0A1-04258793B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5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'Compléter avc fascic acompte ok'!$B$1:$Y$1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'Compléter avc fascic acompte ok'!$B$20:$Y$20</c:f>
              <c:numCache>
                <c:formatCode>#,##0</c:formatCode>
                <c:ptCount val="24"/>
                <c:pt idx="0">
                  <c:v>986939</c:v>
                </c:pt>
                <c:pt idx="1">
                  <c:v>1006711</c:v>
                </c:pt>
                <c:pt idx="2">
                  <c:v>1018645</c:v>
                </c:pt>
                <c:pt idx="3">
                  <c:v>1031909</c:v>
                </c:pt>
                <c:pt idx="4">
                  <c:v>1044421</c:v>
                </c:pt>
                <c:pt idx="5">
                  <c:v>1064879</c:v>
                </c:pt>
                <c:pt idx="6">
                  <c:v>1078320</c:v>
                </c:pt>
                <c:pt idx="7">
                  <c:v>1095392</c:v>
                </c:pt>
                <c:pt idx="8">
                  <c:v>1114947</c:v>
                </c:pt>
                <c:pt idx="9">
                  <c:v>1136601.4932127125</c:v>
                </c:pt>
                <c:pt idx="10">
                  <c:v>1159216.5745917019</c:v>
                </c:pt>
                <c:pt idx="11">
                  <c:v>1191018</c:v>
                </c:pt>
                <c:pt idx="12">
                  <c:v>1235919</c:v>
                </c:pt>
                <c:pt idx="13">
                  <c:v>1277827</c:v>
                </c:pt>
                <c:pt idx="14">
                  <c:v>1322630</c:v>
                </c:pt>
                <c:pt idx="15">
                  <c:v>1367815.095094641</c:v>
                </c:pt>
                <c:pt idx="16">
                  <c:v>1411663</c:v>
                </c:pt>
                <c:pt idx="17">
                  <c:v>1446443</c:v>
                </c:pt>
                <c:pt idx="18">
                  <c:v>1414336</c:v>
                </c:pt>
                <c:pt idx="19">
                  <c:v>1449731</c:v>
                </c:pt>
                <c:pt idx="20">
                  <c:v>1476579</c:v>
                </c:pt>
                <c:pt idx="21">
                  <c:v>1485246</c:v>
                </c:pt>
                <c:pt idx="22">
                  <c:v>1415678</c:v>
                </c:pt>
                <c:pt idx="23">
                  <c:v>1375526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D-4321-BF42-C972A2896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807912"/>
        <c:axId val="443811048"/>
      </c:lineChart>
      <c:catAx>
        <c:axId val="443807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811048"/>
        <c:crosses val="autoZero"/>
        <c:auto val="1"/>
        <c:lblAlgn val="ctr"/>
        <c:lblOffset val="100"/>
        <c:noMultiLvlLbl val="0"/>
      </c:catAx>
      <c:valAx>
        <c:axId val="443811048"/>
        <c:scaling>
          <c:orientation val="minMax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43807912"/>
        <c:crosses val="autoZero"/>
        <c:crossBetween val="between"/>
        <c:majorUnit val="2000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>
    <tabColor indexed="24"/>
  </sheetPr>
  <sheetViews>
    <sheetView zoomScale="90"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19049</xdr:rowOff>
    </xdr:from>
    <xdr:to>
      <xdr:col>2</xdr:col>
      <xdr:colOff>742950</xdr:colOff>
      <xdr:row>12</xdr:row>
      <xdr:rowOff>85724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79C933C3-DD9F-47E3-A570-CF9614894640}"/>
            </a:ext>
          </a:extLst>
        </xdr:cNvPr>
        <xdr:cNvSpPr/>
      </xdr:nvSpPr>
      <xdr:spPr>
        <a:xfrm>
          <a:off x="581025" y="342899"/>
          <a:ext cx="1685925" cy="1685925"/>
        </a:xfrm>
        <a:prstGeom prst="ellipse">
          <a:avLst/>
        </a:prstGeom>
        <a:gradFill flip="none" rotWithShape="1">
          <a:gsLst>
            <a:gs pos="0">
              <a:srgbClr val="9999FF">
                <a:shade val="30000"/>
                <a:satMod val="115000"/>
              </a:srgbClr>
            </a:gs>
            <a:gs pos="50000">
              <a:srgbClr val="9999FF">
                <a:shade val="67500"/>
                <a:satMod val="115000"/>
              </a:srgbClr>
            </a:gs>
            <a:gs pos="100000">
              <a:srgbClr val="9999FF">
                <a:shade val="100000"/>
                <a:satMod val="115000"/>
              </a:srgbClr>
            </a:gs>
          </a:gsLst>
          <a:lin ang="0" scaled="1"/>
          <a:tileRect/>
        </a:gradFill>
        <a:ln>
          <a:noFill/>
        </a:ln>
        <a:effectLst>
          <a:softEdge rad="1270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600075</xdr:colOff>
      <xdr:row>1</xdr:row>
      <xdr:rowOff>133350</xdr:rowOff>
    </xdr:from>
    <xdr:to>
      <xdr:col>5</xdr:col>
      <xdr:colOff>533400</xdr:colOff>
      <xdr:row>11</xdr:row>
      <xdr:rowOff>19049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73B53B95-C238-4DC9-B476-4815ACE013E7}"/>
            </a:ext>
          </a:extLst>
        </xdr:cNvPr>
        <xdr:cNvSpPr/>
      </xdr:nvSpPr>
      <xdr:spPr>
        <a:xfrm>
          <a:off x="2886075" y="295275"/>
          <a:ext cx="1457325" cy="1504949"/>
        </a:xfrm>
        <a:prstGeom prst="ellipse">
          <a:avLst/>
        </a:prstGeom>
        <a:gradFill flip="none" rotWithShape="1">
          <a:gsLst>
            <a:gs pos="0">
              <a:schemeClr val="bg2">
                <a:lumMod val="50000"/>
                <a:shade val="30000"/>
                <a:satMod val="115000"/>
              </a:schemeClr>
            </a:gs>
            <a:gs pos="50000">
              <a:schemeClr val="bg2">
                <a:lumMod val="50000"/>
                <a:shade val="67500"/>
                <a:satMod val="115000"/>
              </a:schemeClr>
            </a:gs>
            <a:gs pos="100000">
              <a:schemeClr val="bg2">
                <a:lumMod val="50000"/>
                <a:shade val="100000"/>
                <a:satMod val="115000"/>
              </a:schemeClr>
            </a:gs>
          </a:gsLst>
          <a:lin ang="0" scaled="1"/>
          <a:tileRect/>
        </a:gradFill>
        <a:ln>
          <a:noFill/>
        </a:ln>
        <a:effectLst>
          <a:softEdge rad="1270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600075</xdr:colOff>
      <xdr:row>3</xdr:row>
      <xdr:rowOff>19051</xdr:rowOff>
    </xdr:from>
    <xdr:to>
      <xdr:col>2</xdr:col>
      <xdr:colOff>723900</xdr:colOff>
      <xdr:row>12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A72B8AC-0E7E-410A-AE49-D956C6048236}"/>
            </a:ext>
          </a:extLst>
        </xdr:cNvPr>
        <xdr:cNvSpPr txBox="1"/>
      </xdr:nvSpPr>
      <xdr:spPr>
        <a:xfrm>
          <a:off x="600075" y="504826"/>
          <a:ext cx="1647825" cy="1438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>
              <a:solidFill>
                <a:schemeClr val="bg1"/>
              </a:solidFill>
            </a:rPr>
            <a:t>6,1 </a:t>
          </a:r>
          <a:r>
            <a:rPr lang="fr-FR" sz="1400">
              <a:solidFill>
                <a:schemeClr val="bg1"/>
              </a:solidFill>
            </a:rPr>
            <a:t>milliards d'€ de compensation  transférés</a:t>
          </a:r>
        </a:p>
        <a:p>
          <a:pPr algn="ctr"/>
          <a:r>
            <a:rPr lang="fr-FR" sz="1200">
              <a:solidFill>
                <a:schemeClr val="bg1"/>
              </a:solidFill>
            </a:rPr>
            <a:t>(2,3</a:t>
          </a:r>
          <a:r>
            <a:rPr lang="fr-FR" sz="1200" baseline="0">
              <a:solidFill>
                <a:schemeClr val="bg1"/>
              </a:solidFill>
            </a:rPr>
            <a:t> % en 1 an)</a:t>
          </a:r>
          <a:endParaRPr lang="fr-FR" sz="12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733425</xdr:colOff>
      <xdr:row>2</xdr:row>
      <xdr:rowOff>152400</xdr:rowOff>
    </xdr:from>
    <xdr:to>
      <xdr:col>5</xdr:col>
      <xdr:colOff>466724</xdr:colOff>
      <xdr:row>9</xdr:row>
      <xdr:rowOff>142875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E9D445C8-623A-4EDE-BBD2-F13071C977AD}"/>
            </a:ext>
          </a:extLst>
        </xdr:cNvPr>
        <xdr:cNvSpPr txBox="1"/>
      </xdr:nvSpPr>
      <xdr:spPr>
        <a:xfrm>
          <a:off x="3019425" y="476250"/>
          <a:ext cx="1257299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>
              <a:solidFill>
                <a:schemeClr val="bg1"/>
              </a:solidFill>
            </a:rPr>
            <a:t>5,1</a:t>
          </a:r>
          <a:r>
            <a:rPr lang="fr-FR" sz="1100">
              <a:solidFill>
                <a:schemeClr val="bg1"/>
              </a:solidFill>
            </a:rPr>
            <a:t> milliards d'€ de compensation  perçus par le régime agricole</a:t>
          </a:r>
        </a:p>
      </xdr:txBody>
    </xdr:sp>
    <xdr:clientData/>
  </xdr:twoCellAnchor>
  <xdr:twoCellAnchor>
    <xdr:from>
      <xdr:col>5</xdr:col>
      <xdr:colOff>353317</xdr:colOff>
      <xdr:row>2</xdr:row>
      <xdr:rowOff>114300</xdr:rowOff>
    </xdr:from>
    <xdr:to>
      <xdr:col>8</xdr:col>
      <xdr:colOff>400051</xdr:colOff>
      <xdr:row>10</xdr:row>
      <xdr:rowOff>28575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56F3DA84-961F-4E78-9CD7-D852C82EE782}"/>
            </a:ext>
          </a:extLst>
        </xdr:cNvPr>
        <xdr:cNvGrpSpPr/>
      </xdr:nvGrpSpPr>
      <xdr:grpSpPr>
        <a:xfrm>
          <a:off x="4163317" y="431800"/>
          <a:ext cx="2332734" cy="1184275"/>
          <a:chOff x="6442727" y="991609"/>
          <a:chExt cx="3052402" cy="1564349"/>
        </a:xfrm>
      </xdr:grpSpPr>
      <xdr:sp macro="" textlink="">
        <xdr:nvSpPr>
          <xdr:cNvPr id="10" name="Forme libre : forme 9">
            <a:extLst>
              <a:ext uri="{FF2B5EF4-FFF2-40B4-BE49-F238E27FC236}">
                <a16:creationId xmlns:a16="http://schemas.microsoft.com/office/drawing/2014/main" id="{18F486F6-91E9-4B15-A93D-4B74CA1C7ECE}"/>
              </a:ext>
            </a:extLst>
          </xdr:cNvPr>
          <xdr:cNvSpPr/>
        </xdr:nvSpPr>
        <xdr:spPr>
          <a:xfrm rot="21600000">
            <a:off x="6442727" y="991609"/>
            <a:ext cx="3040380" cy="762072"/>
          </a:xfrm>
          <a:custGeom>
            <a:avLst/>
            <a:gdLst>
              <a:gd name="connsiteX0" fmla="*/ 0 w 3040380"/>
              <a:gd name="connsiteY0" fmla="*/ 0 h 762070"/>
              <a:gd name="connsiteX1" fmla="*/ 2659345 w 3040380"/>
              <a:gd name="connsiteY1" fmla="*/ 0 h 762070"/>
              <a:gd name="connsiteX2" fmla="*/ 3040380 w 3040380"/>
              <a:gd name="connsiteY2" fmla="*/ 381035 h 762070"/>
              <a:gd name="connsiteX3" fmla="*/ 2659345 w 3040380"/>
              <a:gd name="connsiteY3" fmla="*/ 762070 h 762070"/>
              <a:gd name="connsiteX4" fmla="*/ 0 w 3040380"/>
              <a:gd name="connsiteY4" fmla="*/ 762070 h 762070"/>
              <a:gd name="connsiteX5" fmla="*/ 0 w 3040380"/>
              <a:gd name="connsiteY5" fmla="*/ 0 h 7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040380" h="762070">
                <a:moveTo>
                  <a:pt x="3040380" y="762069"/>
                </a:moveTo>
                <a:lnTo>
                  <a:pt x="381035" y="762069"/>
                </a:lnTo>
                <a:lnTo>
                  <a:pt x="0" y="381035"/>
                </a:lnTo>
                <a:lnTo>
                  <a:pt x="381035" y="1"/>
                </a:lnTo>
                <a:lnTo>
                  <a:pt x="3040380" y="1"/>
                </a:lnTo>
                <a:lnTo>
                  <a:pt x="3040380" y="762069"/>
                </a:lnTo>
                <a:close/>
              </a:path>
            </a:pathLst>
          </a:custGeom>
        </xdr:spPr>
        <xdr:style>
          <a:lnRef idx="0">
            <a:schemeClr val="lt2">
              <a:hueOff val="0"/>
              <a:satOff val="0"/>
              <a:lumOff val="0"/>
              <a:alphaOff val="0"/>
            </a:schemeClr>
          </a:lnRef>
          <a:fillRef idx="3">
            <a:schemeClr val="dk2">
              <a:hueOff val="0"/>
              <a:satOff val="0"/>
              <a:lumOff val="0"/>
              <a:alphaOff val="0"/>
            </a:schemeClr>
          </a:fillRef>
          <a:effectRef idx="3">
            <a:schemeClr val="dk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26569" tIns="133351" rIns="248920" bIns="133350" numCol="1" spcCol="1270" anchor="ctr" anchorCtr="0">
            <a:noAutofit/>
          </a:bodyPr>
          <a:lstStyle/>
          <a:p>
            <a:pPr marL="0" lvl="0" indent="0" algn="ctr" defTabSz="1555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fr-FR" sz="3500" kern="1200"/>
          </a:p>
        </xdr:txBody>
      </xdr:sp>
      <xdr:sp macro="" textlink="">
        <xdr:nvSpPr>
          <xdr:cNvPr id="12" name="Forme libre : forme 11">
            <a:extLst>
              <a:ext uri="{FF2B5EF4-FFF2-40B4-BE49-F238E27FC236}">
                <a16:creationId xmlns:a16="http://schemas.microsoft.com/office/drawing/2014/main" id="{2681B064-8049-4B27-A6E5-32C42FA1FEE3}"/>
              </a:ext>
            </a:extLst>
          </xdr:cNvPr>
          <xdr:cNvSpPr/>
        </xdr:nvSpPr>
        <xdr:spPr>
          <a:xfrm>
            <a:off x="6454749" y="1793887"/>
            <a:ext cx="3040380" cy="762071"/>
          </a:xfrm>
          <a:custGeom>
            <a:avLst/>
            <a:gdLst>
              <a:gd name="connsiteX0" fmla="*/ 0 w 3040380"/>
              <a:gd name="connsiteY0" fmla="*/ 0 h 762070"/>
              <a:gd name="connsiteX1" fmla="*/ 2659345 w 3040380"/>
              <a:gd name="connsiteY1" fmla="*/ 0 h 762070"/>
              <a:gd name="connsiteX2" fmla="*/ 3040380 w 3040380"/>
              <a:gd name="connsiteY2" fmla="*/ 381035 h 762070"/>
              <a:gd name="connsiteX3" fmla="*/ 2659345 w 3040380"/>
              <a:gd name="connsiteY3" fmla="*/ 762070 h 762070"/>
              <a:gd name="connsiteX4" fmla="*/ 0 w 3040380"/>
              <a:gd name="connsiteY4" fmla="*/ 762070 h 762070"/>
              <a:gd name="connsiteX5" fmla="*/ 0 w 3040380"/>
              <a:gd name="connsiteY5" fmla="*/ 0 h 7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040380" h="762070">
                <a:moveTo>
                  <a:pt x="3040380" y="762069"/>
                </a:moveTo>
                <a:lnTo>
                  <a:pt x="381035" y="762069"/>
                </a:lnTo>
                <a:lnTo>
                  <a:pt x="0" y="381035"/>
                </a:lnTo>
                <a:lnTo>
                  <a:pt x="381035" y="1"/>
                </a:lnTo>
                <a:lnTo>
                  <a:pt x="3040380" y="1"/>
                </a:lnTo>
                <a:lnTo>
                  <a:pt x="3040380" y="762069"/>
                </a:lnTo>
                <a:close/>
              </a:path>
            </a:pathLst>
          </a:custGeom>
        </xdr:spPr>
        <xdr:style>
          <a:lnRef idx="0">
            <a:schemeClr val="lt2">
              <a:hueOff val="0"/>
              <a:satOff val="0"/>
              <a:lumOff val="0"/>
              <a:alphaOff val="0"/>
            </a:schemeClr>
          </a:lnRef>
          <a:fillRef idx="3">
            <a:schemeClr val="dk2">
              <a:hueOff val="0"/>
              <a:satOff val="0"/>
              <a:lumOff val="0"/>
              <a:alphaOff val="0"/>
            </a:schemeClr>
          </a:fillRef>
          <a:effectRef idx="3">
            <a:schemeClr val="dk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526569" tIns="133351" rIns="248920" bIns="133350" numCol="1" spcCol="1270" anchor="ctr" anchorCtr="0">
            <a:noAutofit/>
          </a:bodyPr>
          <a:lstStyle/>
          <a:p>
            <a:pPr marL="0" lvl="0" indent="0" algn="ctr" defTabSz="15557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fr-FR" sz="3500" kern="1200"/>
          </a:p>
        </xdr:txBody>
      </xdr:sp>
    </xdr:grpSp>
    <xdr:clientData/>
  </xdr:twoCellAnchor>
  <xdr:twoCellAnchor>
    <xdr:from>
      <xdr:col>2</xdr:col>
      <xdr:colOff>476250</xdr:colOff>
      <xdr:row>8</xdr:row>
      <xdr:rowOff>123825</xdr:rowOff>
    </xdr:from>
    <xdr:to>
      <xdr:col>4</xdr:col>
      <xdr:colOff>200025</xdr:colOff>
      <xdr:row>16</xdr:row>
      <xdr:rowOff>57150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C437EC52-1CDB-4333-92D7-FC413969F995}"/>
            </a:ext>
          </a:extLst>
        </xdr:cNvPr>
        <xdr:cNvSpPr/>
      </xdr:nvSpPr>
      <xdr:spPr>
        <a:xfrm>
          <a:off x="2000250" y="1419225"/>
          <a:ext cx="1247775" cy="1228725"/>
        </a:xfrm>
        <a:prstGeom prst="ellipse">
          <a:avLst/>
        </a:prstGeom>
        <a:gradFill flip="none" rotWithShape="1">
          <a:gsLst>
            <a:gs pos="0">
              <a:schemeClr val="accent5">
                <a:lumMod val="75000"/>
                <a:shade val="30000"/>
                <a:satMod val="115000"/>
              </a:schemeClr>
            </a:gs>
            <a:gs pos="50000">
              <a:schemeClr val="accent5">
                <a:lumMod val="75000"/>
                <a:shade val="67500"/>
                <a:satMod val="115000"/>
              </a:schemeClr>
            </a:gs>
            <a:gs pos="100000">
              <a:schemeClr val="accent5">
                <a:lumMod val="75000"/>
                <a:shade val="100000"/>
                <a:satMod val="115000"/>
              </a:schemeClr>
            </a:gs>
          </a:gsLst>
          <a:lin ang="0" scaled="1"/>
          <a:tileRect/>
        </a:gradFill>
        <a:ln>
          <a:noFill/>
        </a:ln>
        <a:effectLst>
          <a:softEdge rad="1270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476249</xdr:colOff>
      <xdr:row>9</xdr:row>
      <xdr:rowOff>66674</xdr:rowOff>
    </xdr:from>
    <xdr:to>
      <xdr:col>4</xdr:col>
      <xdr:colOff>219075</xdr:colOff>
      <xdr:row>15</xdr:row>
      <xdr:rowOff>114299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8FA8597E-96F7-4335-8822-3863B13DB39C}"/>
            </a:ext>
          </a:extLst>
        </xdr:cNvPr>
        <xdr:cNvSpPr txBox="1"/>
      </xdr:nvSpPr>
      <xdr:spPr>
        <a:xfrm>
          <a:off x="2000249" y="1523999"/>
          <a:ext cx="1266826" cy="101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chemeClr val="bg1"/>
              </a:solidFill>
            </a:rPr>
            <a:t>4,1 </a:t>
          </a:r>
          <a:r>
            <a:rPr lang="fr-FR" sz="1100">
              <a:solidFill>
                <a:schemeClr val="bg1"/>
              </a:solidFill>
            </a:rPr>
            <a:t>milliards d'€ de compensation  versés par le régime général</a:t>
          </a:r>
        </a:p>
      </xdr:txBody>
    </xdr:sp>
    <xdr:clientData/>
  </xdr:twoCellAnchor>
  <xdr:twoCellAnchor>
    <xdr:from>
      <xdr:col>5</xdr:col>
      <xdr:colOff>619125</xdr:colOff>
      <xdr:row>2</xdr:row>
      <xdr:rowOff>161924</xdr:rowOff>
    </xdr:from>
    <xdr:to>
      <xdr:col>8</xdr:col>
      <xdr:colOff>400050</xdr:colOff>
      <xdr:row>6</xdr:row>
      <xdr:rowOff>28575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DAD5049-DB51-449B-A75C-7B2C2E053060}"/>
            </a:ext>
          </a:extLst>
        </xdr:cNvPr>
        <xdr:cNvSpPr txBox="1"/>
      </xdr:nvSpPr>
      <xdr:spPr>
        <a:xfrm>
          <a:off x="4429125" y="485774"/>
          <a:ext cx="2066925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NSA : 2,6</a:t>
          </a:r>
          <a:r>
            <a:rPr lang="fr-FR" sz="1100">
              <a:solidFill>
                <a:schemeClr val="bg1"/>
              </a:solidFill>
            </a:rPr>
            <a:t> milliards d'€</a:t>
          </a:r>
        </a:p>
      </xdr:txBody>
    </xdr:sp>
    <xdr:clientData/>
  </xdr:twoCellAnchor>
  <xdr:twoCellAnchor>
    <xdr:from>
      <xdr:col>5</xdr:col>
      <xdr:colOff>620016</xdr:colOff>
      <xdr:row>6</xdr:row>
      <xdr:rowOff>123824</xdr:rowOff>
    </xdr:from>
    <xdr:to>
      <xdr:col>8</xdr:col>
      <xdr:colOff>400941</xdr:colOff>
      <xdr:row>9</xdr:row>
      <xdr:rowOff>161924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7E3E5FC9-632D-4A1F-A1A0-D5B258C3DBF1}"/>
            </a:ext>
          </a:extLst>
        </xdr:cNvPr>
        <xdr:cNvSpPr txBox="1"/>
      </xdr:nvSpPr>
      <xdr:spPr>
        <a:xfrm>
          <a:off x="4430016" y="1095374"/>
          <a:ext cx="20669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SA</a:t>
          </a:r>
          <a:r>
            <a:rPr lang="fr-FR" sz="1600" b="1" baseline="0">
              <a:solidFill>
                <a:schemeClr val="bg1"/>
              </a:solidFill>
            </a:rPr>
            <a:t> : 2,5 </a:t>
          </a:r>
          <a:r>
            <a:rPr lang="fr-FR" sz="1100">
              <a:solidFill>
                <a:schemeClr val="bg1"/>
              </a:solidFill>
            </a:rPr>
            <a:t>milliards d'€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0.80388</cdr:x>
      <cdr:y>0.67797</cdr:y>
    </cdr:from>
    <cdr:to>
      <cdr:x>0.92238</cdr:x>
      <cdr:y>0.73241</cdr:y>
    </cdr:to>
    <cdr:sp macro="" textlink="">
      <cdr:nvSpPr>
        <cdr:cNvPr id="2" name="ZoneTexte 1"/>
        <cdr:cNvSpPr txBox="1"/>
      </cdr:nvSpPr>
      <cdr:spPr>
        <a:xfrm xmlns:a="http://schemas.openxmlformats.org/drawingml/2006/main" rot="169096">
          <a:off x="7469743" y="4111379"/>
          <a:ext cx="1101203" cy="330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Cotisants</a:t>
          </a:r>
        </a:p>
      </cdr:txBody>
    </cdr:sp>
  </cdr:relSizeAnchor>
  <cdr:relSizeAnchor xmlns:cdr="http://schemas.openxmlformats.org/drawingml/2006/chartDrawing">
    <cdr:from>
      <cdr:x>0.70418</cdr:x>
      <cdr:y>0.36501</cdr:y>
    </cdr:from>
    <cdr:to>
      <cdr:x>0.96811</cdr:x>
      <cdr:y>0.41636</cdr:y>
    </cdr:to>
    <cdr:sp macro="" textlink="">
      <cdr:nvSpPr>
        <cdr:cNvPr id="3" name="ZoneTexte 1"/>
        <cdr:cNvSpPr txBox="1"/>
      </cdr:nvSpPr>
      <cdr:spPr>
        <a:xfrm xmlns:a="http://schemas.openxmlformats.org/drawingml/2006/main" rot="1064542">
          <a:off x="6543358" y="2213512"/>
          <a:ext cx="2452482" cy="3113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Retraités de 65 ans et plus</a:t>
          </a:r>
        </a:p>
      </cdr:txBody>
    </cdr:sp>
  </cdr:relSizeAnchor>
  <cdr:relSizeAnchor xmlns:cdr="http://schemas.openxmlformats.org/drawingml/2006/chartDrawing">
    <cdr:from>
      <cdr:x>0.09793</cdr:x>
      <cdr:y>0.01222</cdr:y>
    </cdr:from>
    <cdr:to>
      <cdr:x>0.2426</cdr:x>
      <cdr:y>0.1466</cdr:y>
    </cdr:to>
    <cdr:pic>
      <cdr:nvPicPr>
        <cdr:cNvPr id="4" name="Image 3">
          <a:extLst xmlns:a="http://schemas.openxmlformats.org/drawingml/2006/main">
            <a:ext uri="{FF2B5EF4-FFF2-40B4-BE49-F238E27FC236}">
              <a16:creationId xmlns:a16="http://schemas.microsoft.com/office/drawing/2014/main" id="{4FC4919C-6630-4FBD-8F52-EBC01A9CAF0A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206" b="-687"/>
        <a:stretch xmlns:a="http://schemas.openxmlformats.org/drawingml/2006/main"/>
      </cdr:blipFill>
      <cdr:spPr bwMode="auto">
        <a:xfrm xmlns:a="http://schemas.openxmlformats.org/drawingml/2006/main">
          <a:off x="909954" y="74083"/>
          <a:ext cx="1344295" cy="8149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0.11153</cdr:x>
      <cdr:y>0.48517</cdr:y>
    </cdr:from>
    <cdr:to>
      <cdr:x>0.24374</cdr:x>
      <cdr:y>0.6178</cdr:y>
    </cdr:to>
    <cdr:pic>
      <cdr:nvPicPr>
        <cdr:cNvPr id="5" name="Image 4">
          <a:extLst xmlns:a="http://schemas.openxmlformats.org/drawingml/2006/main">
            <a:ext uri="{FF2B5EF4-FFF2-40B4-BE49-F238E27FC236}">
              <a16:creationId xmlns:a16="http://schemas.microsoft.com/office/drawing/2014/main" id="{5455311E-B9FB-4282-B1A1-FC8B6C87C600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" r="1608"/>
        <a:stretch xmlns:a="http://schemas.openxmlformats.org/drawingml/2006/main"/>
      </cdr:blipFill>
      <cdr:spPr bwMode="auto">
        <a:xfrm xmlns:a="http://schemas.openxmlformats.org/drawingml/2006/main">
          <a:off x="1036321" y="2942166"/>
          <a:ext cx="1228513" cy="80433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40784" y="698500"/>
    <xdr:ext cx="9292167" cy="6064250"/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2AA19F5-1A7A-45CA-86E0-E16056841C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0.72224</cdr:x>
      <cdr:y>0.53904</cdr:y>
    </cdr:from>
    <cdr:to>
      <cdr:x>0.83031</cdr:x>
      <cdr:y>0.5866</cdr:y>
    </cdr:to>
    <cdr:sp macro="" textlink="">
      <cdr:nvSpPr>
        <cdr:cNvPr id="2" name="ZoneTexte 1"/>
        <cdr:cNvSpPr txBox="1"/>
      </cdr:nvSpPr>
      <cdr:spPr>
        <a:xfrm xmlns:a="http://schemas.openxmlformats.org/drawingml/2006/main" rot="20927318">
          <a:off x="6711190" y="3268893"/>
          <a:ext cx="1004205" cy="288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Cotisants</a:t>
          </a:r>
        </a:p>
      </cdr:txBody>
    </cdr:sp>
  </cdr:relSizeAnchor>
  <cdr:relSizeAnchor xmlns:cdr="http://schemas.openxmlformats.org/drawingml/2006/chartDrawing">
    <cdr:from>
      <cdr:x>0.57947</cdr:x>
      <cdr:y>0.13244</cdr:y>
    </cdr:from>
    <cdr:to>
      <cdr:x>0.84739</cdr:x>
      <cdr:y>0.18105</cdr:y>
    </cdr:to>
    <cdr:sp macro="" textlink="">
      <cdr:nvSpPr>
        <cdr:cNvPr id="3" name="ZoneTexte 1"/>
        <cdr:cNvSpPr txBox="1"/>
      </cdr:nvSpPr>
      <cdr:spPr>
        <a:xfrm xmlns:a="http://schemas.openxmlformats.org/drawingml/2006/main" rot="21032699">
          <a:off x="5384567" y="803167"/>
          <a:ext cx="2489557" cy="29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Retraités de 65 ans et plus</a:t>
          </a:r>
        </a:p>
      </cdr:txBody>
    </cdr:sp>
  </cdr:relSizeAnchor>
  <cdr:relSizeAnchor xmlns:cdr="http://schemas.openxmlformats.org/drawingml/2006/chartDrawing">
    <cdr:from>
      <cdr:x>0.10818</cdr:x>
      <cdr:y>0.07853</cdr:y>
    </cdr:from>
    <cdr:to>
      <cdr:x>0.23918</cdr:x>
      <cdr:y>0.22164</cdr:y>
    </cdr:to>
    <cdr:pic>
      <cdr:nvPicPr>
        <cdr:cNvPr id="4" name="Image 3">
          <a:extLst xmlns:a="http://schemas.openxmlformats.org/drawingml/2006/main">
            <a:ext uri="{FF2B5EF4-FFF2-40B4-BE49-F238E27FC236}">
              <a16:creationId xmlns:a16="http://schemas.microsoft.com/office/drawing/2014/main" id="{1D7AA0B1-E046-43CD-A976-DC5342F76AC2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206" b="-687"/>
        <a:stretch xmlns:a="http://schemas.openxmlformats.org/drawingml/2006/main"/>
      </cdr:blipFill>
      <cdr:spPr bwMode="auto">
        <a:xfrm xmlns:a="http://schemas.openxmlformats.org/drawingml/2006/main">
          <a:off x="1005204" y="476250"/>
          <a:ext cx="1217295" cy="86783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0.20492</cdr:x>
      <cdr:y>0.62129</cdr:y>
    </cdr:from>
    <cdr:to>
      <cdr:x>0.33713</cdr:x>
      <cdr:y>0.75393</cdr:y>
    </cdr:to>
    <cdr:pic>
      <cdr:nvPicPr>
        <cdr:cNvPr id="5" name="Image 4">
          <a:extLst xmlns:a="http://schemas.openxmlformats.org/drawingml/2006/main">
            <a:ext uri="{FF2B5EF4-FFF2-40B4-BE49-F238E27FC236}">
              <a16:creationId xmlns:a16="http://schemas.microsoft.com/office/drawing/2014/main" id="{893432EE-3EDF-457F-983A-7A6211DFE381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" r="1608"/>
        <a:stretch xmlns:a="http://schemas.openxmlformats.org/drawingml/2006/main"/>
      </cdr:blipFill>
      <cdr:spPr bwMode="auto">
        <a:xfrm xmlns:a="http://schemas.openxmlformats.org/drawingml/2006/main">
          <a:off x="1904154" y="3767667"/>
          <a:ext cx="1228512" cy="80433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0.71841</cdr:x>
      <cdr:y>0.51223</cdr:y>
    </cdr:from>
    <cdr:to>
      <cdr:x>0.92938</cdr:x>
      <cdr:y>0.55323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675628" y="3106305"/>
          <a:ext cx="1960369" cy="248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Retraités de 65 ans et plus</a:t>
          </a:r>
        </a:p>
      </cdr:txBody>
    </cdr:sp>
  </cdr:relSizeAnchor>
  <cdr:relSizeAnchor xmlns:cdr="http://schemas.openxmlformats.org/drawingml/2006/chartDrawing">
    <cdr:from>
      <cdr:x>0.90449</cdr:x>
      <cdr:y>0.05397</cdr:y>
    </cdr:from>
    <cdr:to>
      <cdr:x>0.99658</cdr:x>
      <cdr:y>0.09773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404707" y="327288"/>
          <a:ext cx="855716" cy="265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Cotisants</a:t>
          </a:r>
        </a:p>
      </cdr:txBody>
    </cdr:sp>
  </cdr:relSizeAnchor>
  <cdr:relSizeAnchor xmlns:cdr="http://schemas.openxmlformats.org/drawingml/2006/chartDrawing">
    <cdr:from>
      <cdr:x>0.77768</cdr:x>
      <cdr:y>0</cdr:y>
    </cdr:from>
    <cdr:to>
      <cdr:x>0.90989</cdr:x>
      <cdr:y>0.13264</cdr:y>
    </cdr:to>
    <cdr:pic>
      <cdr:nvPicPr>
        <cdr:cNvPr id="5" name="Image 4">
          <a:extLst xmlns:a="http://schemas.openxmlformats.org/drawingml/2006/main">
            <a:ext uri="{FF2B5EF4-FFF2-40B4-BE49-F238E27FC236}">
              <a16:creationId xmlns:a16="http://schemas.microsoft.com/office/drawing/2014/main" id="{9E76070B-9680-4B7C-80F2-CB3D1F69C446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" r="1608"/>
        <a:stretch xmlns:a="http://schemas.openxmlformats.org/drawingml/2006/main"/>
      </cdr:blipFill>
      <cdr:spPr bwMode="auto">
        <a:xfrm xmlns:a="http://schemas.openxmlformats.org/drawingml/2006/main">
          <a:off x="7226300" y="0"/>
          <a:ext cx="1228517" cy="80436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0.76515</cdr:x>
      <cdr:y>0.54415</cdr:y>
    </cdr:from>
    <cdr:to>
      <cdr:x>0.89615</cdr:x>
      <cdr:y>0.68726</cdr:y>
    </cdr:to>
    <cdr:pic>
      <cdr:nvPicPr>
        <cdr:cNvPr id="6" name="Image 5">
          <a:extLst xmlns:a="http://schemas.openxmlformats.org/drawingml/2006/main">
            <a:ext uri="{FF2B5EF4-FFF2-40B4-BE49-F238E27FC236}">
              <a16:creationId xmlns:a16="http://schemas.microsoft.com/office/drawing/2014/main" id="{00BA3345-4B83-4FC2-B87E-0DF993F5C821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206" b="-687"/>
        <a:stretch xmlns:a="http://schemas.openxmlformats.org/drawingml/2006/main"/>
      </cdr:blipFill>
      <cdr:spPr bwMode="auto">
        <a:xfrm xmlns:a="http://schemas.openxmlformats.org/drawingml/2006/main">
          <a:off x="7109883" y="3299884"/>
          <a:ext cx="1217274" cy="86785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0.65381</cdr:x>
      <cdr:y>0.4559</cdr:y>
    </cdr:from>
    <cdr:to>
      <cdr:x>0.91556</cdr:x>
      <cdr:y>0.5127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075270" y="2764690"/>
          <a:ext cx="2432225" cy="344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Retraités de 65 ans et plus</a:t>
          </a:r>
        </a:p>
      </cdr:txBody>
    </cdr:sp>
  </cdr:relSizeAnchor>
  <cdr:relSizeAnchor xmlns:cdr="http://schemas.openxmlformats.org/drawingml/2006/chartDrawing">
    <cdr:from>
      <cdr:x>0.87701</cdr:x>
      <cdr:y>0.10134</cdr:y>
    </cdr:from>
    <cdr:to>
      <cdr:x>1</cdr:x>
      <cdr:y>0.15873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149323" y="614568"/>
          <a:ext cx="1142844" cy="348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Cotisants</a:t>
          </a:r>
        </a:p>
      </cdr:txBody>
    </cdr:sp>
  </cdr:relSizeAnchor>
  <cdr:relSizeAnchor xmlns:cdr="http://schemas.openxmlformats.org/drawingml/2006/chartDrawing">
    <cdr:from>
      <cdr:x>0.18314</cdr:x>
      <cdr:y>0.66806</cdr:y>
    </cdr:from>
    <cdr:to>
      <cdr:x>0.31414</cdr:x>
      <cdr:y>0.81117</cdr:y>
    </cdr:to>
    <cdr:pic>
      <cdr:nvPicPr>
        <cdr:cNvPr id="6" name="Image 5">
          <a:extLst xmlns:a="http://schemas.openxmlformats.org/drawingml/2006/main">
            <a:ext uri="{FF2B5EF4-FFF2-40B4-BE49-F238E27FC236}">
              <a16:creationId xmlns:a16="http://schemas.microsoft.com/office/drawing/2014/main" id="{E5CB26E7-71F5-43BC-A542-57B8B9114616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206" b="-687"/>
        <a:stretch xmlns:a="http://schemas.openxmlformats.org/drawingml/2006/main"/>
      </cdr:blipFill>
      <cdr:spPr bwMode="auto">
        <a:xfrm xmlns:a="http://schemas.openxmlformats.org/drawingml/2006/main">
          <a:off x="1701800" y="4051301"/>
          <a:ext cx="1217274" cy="86785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0.17403</cdr:x>
      <cdr:y>0.09738</cdr:y>
    </cdr:from>
    <cdr:to>
      <cdr:x>0.30624</cdr:x>
      <cdr:y>0.23002</cdr:y>
    </cdr:to>
    <cdr:pic>
      <cdr:nvPicPr>
        <cdr:cNvPr id="5" name="Image 4">
          <a:extLst xmlns:a="http://schemas.openxmlformats.org/drawingml/2006/main">
            <a:ext uri="{FF2B5EF4-FFF2-40B4-BE49-F238E27FC236}">
              <a16:creationId xmlns:a16="http://schemas.microsoft.com/office/drawing/2014/main" id="{1347810A-6A3E-4847-83D4-DF48C5041655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" r="1608"/>
        <a:stretch xmlns:a="http://schemas.openxmlformats.org/drawingml/2006/main"/>
      </cdr:blipFill>
      <cdr:spPr bwMode="auto">
        <a:xfrm xmlns:a="http://schemas.openxmlformats.org/drawingml/2006/main">
          <a:off x="1617133" y="590550"/>
          <a:ext cx="1228517" cy="80436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201084</xdr:colOff>
      <xdr:row>21</xdr:row>
      <xdr:rowOff>63502</xdr:rowOff>
    </xdr:from>
    <xdr:to>
      <xdr:col>27</xdr:col>
      <xdr:colOff>0</xdr:colOff>
      <xdr:row>27</xdr:row>
      <xdr:rowOff>45613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ADE4760-AAA1-40E8-8AE2-15E7F8731F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129" b="6409"/>
        <a:stretch/>
      </xdr:blipFill>
      <xdr:spPr>
        <a:xfrm>
          <a:off x="23230417" y="3397252"/>
          <a:ext cx="762000" cy="93461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0.76343</cdr:x>
      <cdr:y>0.11825</cdr:y>
    </cdr:from>
    <cdr:to>
      <cdr:x>0.92074</cdr:x>
      <cdr:y>0.15686</cdr:y>
    </cdr:to>
    <cdr:sp macro="" textlink="">
      <cdr:nvSpPr>
        <cdr:cNvPr id="2" name="ZoneTexte 1"/>
        <cdr:cNvSpPr txBox="1"/>
      </cdr:nvSpPr>
      <cdr:spPr>
        <a:xfrm xmlns:a="http://schemas.openxmlformats.org/drawingml/2006/main" rot="796600">
          <a:off x="7100955" y="717924"/>
          <a:ext cx="1463199" cy="23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 des NSA</a:t>
          </a:r>
        </a:p>
      </cdr:txBody>
    </cdr:sp>
  </cdr:relSizeAnchor>
  <cdr:relSizeAnchor xmlns:cdr="http://schemas.openxmlformats.org/drawingml/2006/chartDrawing">
    <cdr:from>
      <cdr:x>0.81876</cdr:x>
      <cdr:y>0.30743</cdr:y>
    </cdr:from>
    <cdr:to>
      <cdr:x>0.96419</cdr:x>
      <cdr:y>0.34953</cdr:y>
    </cdr:to>
    <cdr:sp macro="" textlink="">
      <cdr:nvSpPr>
        <cdr:cNvPr id="3" name="ZoneTexte 1"/>
        <cdr:cNvSpPr txBox="1"/>
      </cdr:nvSpPr>
      <cdr:spPr>
        <a:xfrm xmlns:a="http://schemas.openxmlformats.org/drawingml/2006/main" rot="1161769">
          <a:off x="7615566" y="1866482"/>
          <a:ext cx="1352698" cy="255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 des SA</a:t>
          </a:r>
        </a:p>
      </cdr:txBody>
    </cdr:sp>
  </cdr:relSizeAnchor>
  <cdr:relSizeAnchor xmlns:cdr="http://schemas.openxmlformats.org/drawingml/2006/chartDrawing">
    <cdr:from>
      <cdr:x>0.65717</cdr:x>
      <cdr:y>0.61981</cdr:y>
    </cdr:from>
    <cdr:to>
      <cdr:x>0.96383</cdr:x>
      <cdr:y>0.66914</cdr:y>
    </cdr:to>
    <cdr:sp macro="" textlink="">
      <cdr:nvSpPr>
        <cdr:cNvPr id="5" name="ZoneTexte 1"/>
        <cdr:cNvSpPr txBox="1"/>
      </cdr:nvSpPr>
      <cdr:spPr>
        <a:xfrm xmlns:a="http://schemas.openxmlformats.org/drawingml/2006/main" rot="1052843">
          <a:off x="6112565" y="3762985"/>
          <a:ext cx="2852358" cy="299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</a:t>
          </a:r>
          <a:r>
            <a:rPr lang="fr-FR" sz="12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des indépendants de la SSI</a:t>
          </a:r>
          <a:endParaRPr lang="fr-FR" sz="12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0.71098</cdr:x>
      <cdr:y>0.74587</cdr:y>
    </cdr:from>
    <cdr:to>
      <cdr:x>0.93841</cdr:x>
      <cdr:y>0.78822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6606581" y="4523152"/>
          <a:ext cx="2113318" cy="256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Régime général</a:t>
          </a:r>
          <a:r>
            <a:rPr lang="fr-FR" sz="12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 vieillesse</a:t>
          </a:r>
          <a:endParaRPr lang="fr-FR" sz="12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0.08292</cdr:x>
      <cdr:y>0.34871</cdr:y>
    </cdr:from>
    <cdr:to>
      <cdr:x>0.38159</cdr:x>
      <cdr:y>0.58234</cdr:y>
    </cdr:to>
    <cdr:pic>
      <cdr:nvPicPr>
        <cdr:cNvPr id="7" name="Image 6">
          <a:extLst xmlns:a="http://schemas.openxmlformats.org/drawingml/2006/main">
            <a:ext uri="{FF2B5EF4-FFF2-40B4-BE49-F238E27FC236}">
              <a16:creationId xmlns:a16="http://schemas.microsoft.com/office/drawing/2014/main" id="{69B31112-1E64-4143-8939-7FA05EB6135E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560" r="259" b="1776"/>
        <a:stretch xmlns:a="http://schemas.openxmlformats.org/drawingml/2006/main"/>
      </cdr:blipFill>
      <cdr:spPr bwMode="auto">
        <a:xfrm xmlns:a="http://schemas.openxmlformats.org/drawingml/2006/main">
          <a:off x="770468" y="2116666"/>
          <a:ext cx="2774950" cy="141816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0.39298</cdr:x>
      <cdr:y>0.43065</cdr:y>
    </cdr:from>
    <cdr:to>
      <cdr:x>0.72787</cdr:x>
      <cdr:y>0.47773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B5697933-D00A-4A06-B0CE-98E13A264097}"/>
            </a:ext>
          </a:extLst>
        </cdr:cNvPr>
        <cdr:cNvSpPr txBox="1"/>
      </cdr:nvSpPr>
      <cdr:spPr>
        <a:xfrm xmlns:a="http://schemas.openxmlformats.org/drawingml/2006/main">
          <a:off x="3651250" y="2614084"/>
          <a:ext cx="311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 b="1">
              <a:solidFill>
                <a:schemeClr val="tx1">
                  <a:lumMod val="50000"/>
                  <a:lumOff val="50000"/>
                </a:schemeClr>
              </a:solidFill>
            </a:rPr>
            <a:t>Nombre de retraités pour un cotisant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219075" y="180975"/>
    <xdr:ext cx="9293679" cy="606878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3B75BFC-F695-48FE-AA6C-0DD7371E5C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0.82671</cdr:x>
      <cdr:y>0.193</cdr:y>
    </cdr:from>
    <cdr:to>
      <cdr:x>0.95114</cdr:x>
      <cdr:y>0.22775</cdr:y>
    </cdr:to>
    <cdr:sp macro="" textlink="">
      <cdr:nvSpPr>
        <cdr:cNvPr id="2" name="ZoneTexte 1"/>
        <cdr:cNvSpPr txBox="1"/>
      </cdr:nvSpPr>
      <cdr:spPr>
        <a:xfrm xmlns:a="http://schemas.openxmlformats.org/drawingml/2006/main" rot="922365">
          <a:off x="7683152" y="1171271"/>
          <a:ext cx="1156413" cy="210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 des NSA</a:t>
          </a:r>
        </a:p>
      </cdr:txBody>
    </cdr:sp>
  </cdr:relSizeAnchor>
  <cdr:relSizeAnchor xmlns:cdr="http://schemas.openxmlformats.org/drawingml/2006/chartDrawing">
    <cdr:from>
      <cdr:x>0.82718</cdr:x>
      <cdr:y>0.29847</cdr:y>
    </cdr:from>
    <cdr:to>
      <cdr:x>0.9388</cdr:x>
      <cdr:y>0.33117</cdr:y>
    </cdr:to>
    <cdr:sp macro="" textlink="">
      <cdr:nvSpPr>
        <cdr:cNvPr id="3" name="ZoneTexte 1"/>
        <cdr:cNvSpPr txBox="1"/>
      </cdr:nvSpPr>
      <cdr:spPr>
        <a:xfrm xmlns:a="http://schemas.openxmlformats.org/drawingml/2006/main" rot="1435398">
          <a:off x="7687526" y="1811351"/>
          <a:ext cx="1037361" cy="198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 des SA</a:t>
          </a:r>
        </a:p>
      </cdr:txBody>
    </cdr:sp>
  </cdr:relSizeAnchor>
  <cdr:relSizeAnchor xmlns:cdr="http://schemas.openxmlformats.org/drawingml/2006/chartDrawing">
    <cdr:from>
      <cdr:x>0.7101</cdr:x>
      <cdr:y>0.62771</cdr:y>
    </cdr:from>
    <cdr:to>
      <cdr:x>0.94497</cdr:x>
      <cdr:y>0.66214</cdr:y>
    </cdr:to>
    <cdr:sp macro="" textlink="">
      <cdr:nvSpPr>
        <cdr:cNvPr id="5" name="ZoneTexte 1"/>
        <cdr:cNvSpPr txBox="1"/>
      </cdr:nvSpPr>
      <cdr:spPr>
        <a:xfrm xmlns:a="http://schemas.openxmlformats.org/drawingml/2006/main" rot="1052843">
          <a:off x="6599460" y="3809438"/>
          <a:ext cx="2182806" cy="208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Régime</a:t>
          </a:r>
          <a:r>
            <a:rPr lang="fr-FR" sz="900" b="1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 des indépendants de la SSI</a:t>
          </a:r>
          <a:endParaRPr lang="fr-FR" sz="900" b="1">
            <a:solidFill>
              <a:schemeClr val="accent4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0.76427</cdr:x>
      <cdr:y>0.74587</cdr:y>
    </cdr:from>
    <cdr:to>
      <cdr:x>0.94187</cdr:x>
      <cdr:y>0.77377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7102920" y="4526525"/>
          <a:ext cx="1650555" cy="1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Régime général</a:t>
          </a:r>
          <a:r>
            <a:rPr lang="fr-FR" sz="900" b="1" baseline="0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vieillesse</a:t>
          </a:r>
          <a:endParaRPr lang="fr-FR" sz="9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2428875" y="70485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73680A-9BE7-49E6-B244-09DB08C1A8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0.38474</cdr:x>
      <cdr:y>0.33473</cdr:y>
    </cdr:from>
    <cdr:to>
      <cdr:x>0.64066</cdr:x>
      <cdr:y>0.73543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ADEFEE76-F64E-4D94-A749-1577BBC0F85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75050" y="2029884"/>
          <a:ext cx="2378075" cy="2429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123825" y="447675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D61FDE4-6584-4C54-99DE-7EBCFA3D6A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5</xdr:row>
      <xdr:rowOff>114300</xdr:rowOff>
    </xdr:from>
    <xdr:to>
      <xdr:col>15</xdr:col>
      <xdr:colOff>104775</xdr:colOff>
      <xdr:row>39</xdr:row>
      <xdr:rowOff>95250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0.39191</cdr:x>
      <cdr:y>0.32565</cdr:y>
    </cdr:from>
    <cdr:to>
      <cdr:x>0.64784</cdr:x>
      <cdr:y>0.72635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72509076-8724-4164-8EB6-0D8288D174AA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641725" y="1974850"/>
          <a:ext cx="2378075" cy="2429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0.30966</cdr:x>
      <cdr:y>0.47949</cdr:y>
    </cdr:from>
    <cdr:to>
      <cdr:x>0.71383</cdr:x>
      <cdr:y>0.8902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94A98B04-39FE-4B0A-831D-1276DBBA1524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alphaModFix amt="70000"/>
        </a:blip>
        <a:srcRect xmlns:a="http://schemas.openxmlformats.org/drawingml/2006/main" l="1" r="1608"/>
        <a:stretch xmlns:a="http://schemas.openxmlformats.org/drawingml/2006/main"/>
      </cdr:blipFill>
      <cdr:spPr bwMode="auto">
        <a:xfrm xmlns:a="http://schemas.openxmlformats.org/drawingml/2006/main">
          <a:off x="2831572" y="2578895"/>
          <a:ext cx="3695700" cy="22090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ffectLst xmlns:a="http://schemas.openxmlformats.org/drawingml/2006/main">
          <a:softEdge rad="112500"/>
        </a:effectLst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33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8825C1-F689-4F99-89F7-2E8E2D650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0.30638</cdr:x>
      <cdr:y>0.55148</cdr:y>
    </cdr:from>
    <cdr:to>
      <cdr:x>0.701</cdr:x>
      <cdr:y>0.9214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D8D578BA-67F2-4DCD-A067-07F01B66D036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>
          <a:alphaModFix amt="70000"/>
        </a:blip>
        <a:srcRect xmlns:a="http://schemas.openxmlformats.org/drawingml/2006/main" r="2206" b="-687"/>
        <a:stretch xmlns:a="http://schemas.openxmlformats.org/drawingml/2006/main"/>
      </cdr:blipFill>
      <cdr:spPr bwMode="auto">
        <a:xfrm xmlns:a="http://schemas.openxmlformats.org/drawingml/2006/main">
          <a:off x="2846915" y="3344332"/>
          <a:ext cx="3666913" cy="22432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ffectLst xmlns:a="http://schemas.openxmlformats.org/drawingml/2006/main">
          <a:softEdge rad="112500"/>
        </a:effectLst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479C29-5DEE-4370-A872-08C9AA20FF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20/Donn&#233;esVieillesse_ArticleOES_d&#233;cembre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24/estim-pop-dep-sexe-gca-1975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20/estim-pop-dep-sexe-gca-1975-2020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22%20en%20cours/estim-pop-dep-sexe-gca-197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25/4%20-%20Supports/estim-pop-dep-sexe-gca-1975-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1_STATS_MISSION_SYNTHESES/03_FINANCEMENT/00_GESTION_MS/02_COMPENSATION%20DEMO/6-%20Publications/2017/VG%20-Donn&#233;esVieillesse_ArticleOES_d&#233;cembre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éter avc fascic acompte"/>
      <sheetName val="Regimes"/>
      <sheetName val="Effectifs"/>
      <sheetName val="DonnéesGraph"/>
      <sheetName val="Tabl1&amp;2"/>
      <sheetName val="Graph1_CotPv"/>
      <sheetName val="Graph2_Retr"/>
      <sheetName val="Graph3_NSA"/>
      <sheetName val="Graph3_NSA (2)"/>
      <sheetName val="Graph3_NSA (3)"/>
      <sheetName val="Graph4_SA"/>
      <sheetName val="Graph4_SA (2)"/>
      <sheetName val="Graph4_SA (3)"/>
      <sheetName val="Graph5_RSI AVIC"/>
      <sheetName val="Graph6_RSI AVA"/>
      <sheetName val="Graph7_RG"/>
      <sheetName val="Graph8_RappDemo"/>
      <sheetName val="TransfertCompDemo_1"/>
      <sheetName val="TransfertCompDemo_2"/>
      <sheetName val="Graph9_TranfComDemo"/>
      <sheetName val="Graph9_TranfComDemo (2)"/>
      <sheetName val="Graph9_TranfComDemo (3)"/>
      <sheetName val="DonnéesGraph10&amp;11"/>
      <sheetName val="Graph10"/>
      <sheetName val="Graph11"/>
    </sheetNames>
    <sheetDataSet>
      <sheetData sheetId="0">
        <row r="5">
          <cell r="B5">
            <v>620831</v>
          </cell>
          <cell r="C5">
            <v>626730</v>
          </cell>
          <cell r="D5">
            <v>617340</v>
          </cell>
          <cell r="E5">
            <v>640311</v>
          </cell>
          <cell r="F5">
            <v>665936</v>
          </cell>
          <cell r="G5">
            <v>693547</v>
          </cell>
          <cell r="H5">
            <v>677844</v>
          </cell>
          <cell r="I5">
            <v>702729</v>
          </cell>
          <cell r="J5">
            <v>747522</v>
          </cell>
          <cell r="K5">
            <v>743215.74368269858</v>
          </cell>
          <cell r="L5">
            <v>784795</v>
          </cell>
          <cell r="M5">
            <v>821722.91911187721</v>
          </cell>
          <cell r="N5">
            <v>801031</v>
          </cell>
          <cell r="O5">
            <v>787498</v>
          </cell>
          <cell r="P5">
            <v>760937</v>
          </cell>
        </row>
        <row r="6">
          <cell r="B6">
            <v>492326</v>
          </cell>
          <cell r="C6">
            <v>502257</v>
          </cell>
          <cell r="D6">
            <v>508103</v>
          </cell>
          <cell r="E6">
            <v>518424</v>
          </cell>
          <cell r="F6">
            <v>535392</v>
          </cell>
          <cell r="G6">
            <v>552944</v>
          </cell>
          <cell r="H6">
            <v>551185</v>
          </cell>
          <cell r="I6">
            <v>570540</v>
          </cell>
          <cell r="J6">
            <v>594632</v>
          </cell>
          <cell r="K6">
            <v>599920.75383626472</v>
          </cell>
          <cell r="L6">
            <v>653131</v>
          </cell>
          <cell r="M6">
            <v>678814.40469462273</v>
          </cell>
          <cell r="N6">
            <v>666990</v>
          </cell>
          <cell r="O6">
            <v>672289</v>
          </cell>
          <cell r="P6">
            <v>659200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À savoir"/>
      <sheetName val="2024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1988"/>
      <sheetName val="1987"/>
      <sheetName val="1986"/>
      <sheetName val="1985"/>
      <sheetName val="1984"/>
      <sheetName val="1983"/>
      <sheetName val="1982"/>
      <sheetName val="1981"/>
      <sheetName val="1980"/>
      <sheetName val="1979"/>
      <sheetName val="1978"/>
      <sheetName val="1977"/>
      <sheetName val="1976"/>
      <sheetName val="1975"/>
    </sheetNames>
    <sheetDataSet>
      <sheetData sheetId="0"/>
      <sheetData sheetId="1"/>
      <sheetData sheetId="2"/>
      <sheetData sheetId="3">
        <row r="102">
          <cell r="H102">
            <v>65721831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2">
          <cell r="H102">
            <v>63070344</v>
          </cell>
        </row>
      </sheetData>
      <sheetData sheetId="15">
        <row r="102">
          <cell r="H102">
            <v>62765235</v>
          </cell>
        </row>
      </sheetData>
      <sheetData sheetId="16">
        <row r="102">
          <cell r="H102">
            <v>62465709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À savoir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1988"/>
      <sheetName val="1987"/>
      <sheetName val="1986"/>
      <sheetName val="1985"/>
      <sheetName val="1984"/>
      <sheetName val="1983"/>
      <sheetName val="1982"/>
      <sheetName val="1981"/>
      <sheetName val="1980"/>
      <sheetName val="1979"/>
      <sheetName val="1978"/>
      <sheetName val="1977"/>
      <sheetName val="1976"/>
      <sheetName val="1975"/>
    </sheetNames>
    <sheetDataSet>
      <sheetData sheetId="0"/>
      <sheetData sheetId="1"/>
      <sheetData sheetId="2"/>
      <sheetData sheetId="3">
        <row r="102">
          <cell r="H102">
            <v>64737769</v>
          </cell>
        </row>
      </sheetData>
      <sheetData sheetId="4">
        <row r="102">
          <cell r="H102">
            <v>64639133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À savoir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1988"/>
      <sheetName val="1987"/>
      <sheetName val="1986"/>
      <sheetName val="1985"/>
      <sheetName val="1984"/>
      <sheetName val="1983"/>
      <sheetName val="1982"/>
      <sheetName val="1981"/>
      <sheetName val="1980"/>
      <sheetName val="1979"/>
      <sheetName val="1978"/>
      <sheetName val="1977"/>
      <sheetName val="1976"/>
      <sheetName val="1975"/>
    </sheetNames>
    <sheetDataSet>
      <sheetData sheetId="0"/>
      <sheetData sheetId="1"/>
      <sheetData sheetId="2"/>
      <sheetData sheetId="3">
        <row r="102">
          <cell r="H102">
            <v>64988222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À savoir"/>
      <sheetName val="2025"/>
      <sheetName val="2024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1988"/>
      <sheetName val="1987"/>
      <sheetName val="1986"/>
      <sheetName val="1985"/>
      <sheetName val="1984"/>
      <sheetName val="1983"/>
      <sheetName val="1982"/>
      <sheetName val="1981"/>
      <sheetName val="1980"/>
      <sheetName val="1979"/>
      <sheetName val="1978"/>
      <sheetName val="1977"/>
      <sheetName val="1976"/>
      <sheetName val="1975"/>
    </sheetNames>
    <sheetDataSet>
      <sheetData sheetId="0"/>
      <sheetData sheetId="1"/>
      <sheetData sheetId="2"/>
      <sheetData sheetId="3">
        <row r="102">
          <cell r="H102">
            <v>66017385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éter avc fascic acompte"/>
      <sheetName val="Regimes"/>
      <sheetName val="Effectifs"/>
      <sheetName val="DonnéesGraph"/>
      <sheetName val="Tabl1&amp;2"/>
      <sheetName val="Graph1_CotPv"/>
      <sheetName val="Graph2_Retr"/>
      <sheetName val="Graph3_NSA"/>
      <sheetName val="Graph3_NSA (2)"/>
      <sheetName val="Graph3_NSA (3)"/>
      <sheetName val="Graph4_SA"/>
      <sheetName val="Graph4_SA (2)"/>
      <sheetName val="Graph4_SA (3)"/>
      <sheetName val="Graph5_RSI AVIC"/>
      <sheetName val="Graph6_RSI AVA"/>
      <sheetName val="Graph7_RG"/>
      <sheetName val="Graph8_RappDemo"/>
      <sheetName val="TransfertCompDemo_1"/>
      <sheetName val="TransfertCompDemo_2"/>
      <sheetName val="Graph9_TranfComDemo"/>
      <sheetName val="Graph9_TranfComDemo (2)"/>
      <sheetName val="Graph9_TranfComDemo (3)"/>
      <sheetName val="DonnéesGraph10&amp;11"/>
      <sheetName val="Graph10"/>
      <sheetName val="Graph11"/>
    </sheetNames>
    <sheetDataSet>
      <sheetData sheetId="0"/>
      <sheetData sheetId="1"/>
      <sheetData sheetId="2"/>
      <sheetData sheetId="3">
        <row r="17">
          <cell r="M17">
            <v>1191018</v>
          </cell>
          <cell r="N17">
            <v>1235919</v>
          </cell>
          <cell r="O17">
            <v>1277827</v>
          </cell>
          <cell r="P17">
            <v>1322630</v>
          </cell>
          <cell r="Q17">
            <v>1367815.095094641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umanoir.newten@ccmsa.msa.fr" TargetMode="External"/><Relationship Id="rId2" Type="http://schemas.openxmlformats.org/officeDocument/2006/relationships/hyperlink" Target="mailto:foucaud.david@ccmsa.msa.fr" TargetMode="External"/><Relationship Id="rId1" Type="http://schemas.openxmlformats.org/officeDocument/2006/relationships/hyperlink" Target="mailto:joubert.nadia@ccmsa.msa.f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55F0-8396-4C1F-85AE-A89FA2125120}">
  <dimension ref="A1:AE242"/>
  <sheetViews>
    <sheetView showGridLines="0" tabSelected="1" workbookViewId="0"/>
  </sheetViews>
  <sheetFormatPr baseColWidth="10" defaultRowHeight="12.5" x14ac:dyDescent="0.25"/>
  <cols>
    <col min="8" max="31" width="10.90625" style="212"/>
  </cols>
  <sheetData>
    <row r="1" spans="1:7" ht="16" thickTop="1" x14ac:dyDescent="0.35">
      <c r="A1" s="502"/>
      <c r="B1" s="503"/>
      <c r="C1" s="503"/>
      <c r="D1" s="503"/>
      <c r="E1" s="503"/>
      <c r="F1" s="503"/>
      <c r="G1" s="504" t="s">
        <v>147</v>
      </c>
    </row>
    <row r="2" spans="1:7" x14ac:dyDescent="0.25">
      <c r="A2" s="505"/>
      <c r="G2" s="506"/>
    </row>
    <row r="3" spans="1:7" x14ac:dyDescent="0.25">
      <c r="A3" s="505"/>
      <c r="G3" s="506"/>
    </row>
    <row r="4" spans="1:7" x14ac:dyDescent="0.25">
      <c r="A4" s="505"/>
      <c r="G4" s="506"/>
    </row>
    <row r="5" spans="1:7" x14ac:dyDescent="0.25">
      <c r="A5" s="505"/>
      <c r="G5" s="506"/>
    </row>
    <row r="6" spans="1:7" ht="31" x14ac:dyDescent="0.25">
      <c r="A6" s="517" t="s">
        <v>148</v>
      </c>
      <c r="B6" s="518"/>
      <c r="C6" s="518"/>
      <c r="D6" s="518"/>
      <c r="E6" s="518"/>
      <c r="F6" s="518"/>
      <c r="G6" s="519"/>
    </row>
    <row r="7" spans="1:7" ht="11.5" customHeight="1" x14ac:dyDescent="0.5">
      <c r="A7" s="520"/>
      <c r="B7" s="521"/>
      <c r="C7" s="521"/>
      <c r="D7" s="521"/>
      <c r="E7" s="521"/>
      <c r="F7" s="521"/>
      <c r="G7" s="522"/>
    </row>
    <row r="8" spans="1:7" x14ac:dyDescent="0.25">
      <c r="A8" s="505"/>
      <c r="G8" s="506"/>
    </row>
    <row r="9" spans="1:7" x14ac:dyDescent="0.25">
      <c r="A9" s="505"/>
      <c r="G9" s="506"/>
    </row>
    <row r="10" spans="1:7" x14ac:dyDescent="0.25">
      <c r="A10" s="505"/>
      <c r="G10" s="507" t="s">
        <v>114</v>
      </c>
    </row>
    <row r="11" spans="1:7" x14ac:dyDescent="0.25">
      <c r="A11" s="505" t="s">
        <v>149</v>
      </c>
      <c r="G11" s="506"/>
    </row>
    <row r="12" spans="1:7" ht="13" x14ac:dyDescent="0.25">
      <c r="A12" s="508" t="s">
        <v>141</v>
      </c>
      <c r="G12" s="506"/>
    </row>
    <row r="13" spans="1:7" x14ac:dyDescent="0.25">
      <c r="A13" s="509" t="s">
        <v>142</v>
      </c>
      <c r="G13" s="506"/>
    </row>
    <row r="14" spans="1:7" x14ac:dyDescent="0.25">
      <c r="A14" s="510"/>
      <c r="G14" s="506"/>
    </row>
    <row r="15" spans="1:7" x14ac:dyDescent="0.25">
      <c r="A15" s="508" t="s">
        <v>150</v>
      </c>
      <c r="G15" s="506"/>
    </row>
    <row r="16" spans="1:7" x14ac:dyDescent="0.25">
      <c r="A16" s="508" t="s">
        <v>143</v>
      </c>
      <c r="G16" s="506"/>
    </row>
    <row r="17" spans="1:7" x14ac:dyDescent="0.25">
      <c r="A17" s="511" t="s">
        <v>144</v>
      </c>
      <c r="G17" s="506"/>
    </row>
    <row r="18" spans="1:7" x14ac:dyDescent="0.25">
      <c r="A18" s="511"/>
      <c r="G18" s="506"/>
    </row>
    <row r="19" spans="1:7" x14ac:dyDescent="0.25">
      <c r="A19" s="512" t="s">
        <v>151</v>
      </c>
      <c r="G19" s="506"/>
    </row>
    <row r="20" spans="1:7" x14ac:dyDescent="0.25">
      <c r="A20" s="513" t="s">
        <v>145</v>
      </c>
      <c r="G20" s="506"/>
    </row>
    <row r="21" spans="1:7" x14ac:dyDescent="0.25">
      <c r="A21" s="511" t="s">
        <v>146</v>
      </c>
      <c r="G21" s="506"/>
    </row>
    <row r="22" spans="1:7" ht="13" thickBot="1" x14ac:dyDescent="0.3">
      <c r="A22" s="514"/>
      <c r="B22" s="515"/>
      <c r="C22" s="515"/>
      <c r="D22" s="515"/>
      <c r="E22" s="515"/>
      <c r="F22" s="515"/>
      <c r="G22" s="516"/>
    </row>
    <row r="23" spans="1:7" s="212" customFormat="1" ht="13" thickTop="1" x14ac:dyDescent="0.25"/>
    <row r="24" spans="1:7" s="212" customFormat="1" x14ac:dyDescent="0.25"/>
    <row r="25" spans="1:7" s="212" customFormat="1" x14ac:dyDescent="0.25"/>
    <row r="26" spans="1:7" s="212" customFormat="1" x14ac:dyDescent="0.25"/>
    <row r="27" spans="1:7" s="212" customFormat="1" x14ac:dyDescent="0.25"/>
    <row r="28" spans="1:7" s="212" customFormat="1" x14ac:dyDescent="0.25"/>
    <row r="29" spans="1:7" s="212" customFormat="1" x14ac:dyDescent="0.25"/>
    <row r="30" spans="1:7" s="212" customFormat="1" x14ac:dyDescent="0.25"/>
    <row r="31" spans="1:7" s="212" customFormat="1" x14ac:dyDescent="0.25"/>
    <row r="32" spans="1:7" s="212" customFormat="1" x14ac:dyDescent="0.25"/>
    <row r="33" s="212" customFormat="1" x14ac:dyDescent="0.25"/>
    <row r="34" s="212" customFormat="1" x14ac:dyDescent="0.25"/>
    <row r="35" s="212" customFormat="1" x14ac:dyDescent="0.25"/>
    <row r="36" s="212" customFormat="1" x14ac:dyDescent="0.25"/>
    <row r="37" s="212" customFormat="1" x14ac:dyDescent="0.25"/>
    <row r="38" s="212" customFormat="1" x14ac:dyDescent="0.25"/>
    <row r="39" s="212" customFormat="1" x14ac:dyDescent="0.25"/>
    <row r="40" s="212" customFormat="1" x14ac:dyDescent="0.25"/>
    <row r="41" s="212" customFormat="1" x14ac:dyDescent="0.25"/>
    <row r="42" s="212" customFormat="1" x14ac:dyDescent="0.25"/>
    <row r="43" s="212" customFormat="1" x14ac:dyDescent="0.25"/>
    <row r="44" s="212" customFormat="1" x14ac:dyDescent="0.25"/>
    <row r="45" s="212" customFormat="1" x14ac:dyDescent="0.25"/>
    <row r="46" s="212" customFormat="1" x14ac:dyDescent="0.25"/>
    <row r="47" s="212" customFormat="1" x14ac:dyDescent="0.25"/>
    <row r="48" s="212" customFormat="1" x14ac:dyDescent="0.25"/>
    <row r="49" s="212" customFormat="1" x14ac:dyDescent="0.25"/>
    <row r="50" s="212" customFormat="1" x14ac:dyDescent="0.25"/>
    <row r="51" s="212" customFormat="1" x14ac:dyDescent="0.25"/>
    <row r="52" s="212" customFormat="1" x14ac:dyDescent="0.25"/>
    <row r="53" s="212" customFormat="1" x14ac:dyDescent="0.25"/>
    <row r="54" s="212" customFormat="1" x14ac:dyDescent="0.25"/>
    <row r="55" s="212" customFormat="1" x14ac:dyDescent="0.25"/>
    <row r="56" s="212" customFormat="1" x14ac:dyDescent="0.25"/>
    <row r="57" s="212" customFormat="1" x14ac:dyDescent="0.25"/>
    <row r="58" s="212" customFormat="1" x14ac:dyDescent="0.25"/>
    <row r="59" s="212" customFormat="1" x14ac:dyDescent="0.25"/>
    <row r="60" s="212" customFormat="1" x14ac:dyDescent="0.25"/>
    <row r="61" s="212" customFormat="1" x14ac:dyDescent="0.25"/>
    <row r="62" s="212" customFormat="1" x14ac:dyDescent="0.25"/>
    <row r="63" s="212" customFormat="1" x14ac:dyDescent="0.25"/>
    <row r="64" s="212" customFormat="1" x14ac:dyDescent="0.25"/>
    <row r="65" s="212" customFormat="1" x14ac:dyDescent="0.25"/>
    <row r="66" s="212" customFormat="1" x14ac:dyDescent="0.25"/>
    <row r="67" s="212" customFormat="1" x14ac:dyDescent="0.25"/>
    <row r="68" s="212" customFormat="1" x14ac:dyDescent="0.25"/>
    <row r="69" s="212" customFormat="1" x14ac:dyDescent="0.25"/>
    <row r="70" s="212" customFormat="1" x14ac:dyDescent="0.25"/>
    <row r="71" s="212" customFormat="1" x14ac:dyDescent="0.25"/>
    <row r="72" s="212" customFormat="1" x14ac:dyDescent="0.25"/>
    <row r="73" s="212" customFormat="1" x14ac:dyDescent="0.25"/>
    <row r="74" s="212" customFormat="1" x14ac:dyDescent="0.25"/>
    <row r="75" s="212" customFormat="1" x14ac:dyDescent="0.25"/>
    <row r="76" s="212" customFormat="1" x14ac:dyDescent="0.25"/>
    <row r="77" s="212" customFormat="1" x14ac:dyDescent="0.25"/>
    <row r="78" s="212" customFormat="1" x14ac:dyDescent="0.25"/>
    <row r="79" s="212" customFormat="1" x14ac:dyDescent="0.25"/>
    <row r="80" s="212" customFormat="1" x14ac:dyDescent="0.25"/>
    <row r="81" s="212" customFormat="1" x14ac:dyDescent="0.25"/>
    <row r="82" s="212" customFormat="1" x14ac:dyDescent="0.25"/>
    <row r="83" s="212" customFormat="1" x14ac:dyDescent="0.25"/>
    <row r="84" s="212" customFormat="1" x14ac:dyDescent="0.25"/>
    <row r="85" s="212" customFormat="1" x14ac:dyDescent="0.25"/>
    <row r="86" s="212" customFormat="1" x14ac:dyDescent="0.25"/>
    <row r="87" s="212" customFormat="1" x14ac:dyDescent="0.25"/>
    <row r="88" s="212" customFormat="1" x14ac:dyDescent="0.25"/>
    <row r="89" s="212" customFormat="1" x14ac:dyDescent="0.25"/>
    <row r="90" s="212" customFormat="1" x14ac:dyDescent="0.25"/>
    <row r="91" s="212" customFormat="1" x14ac:dyDescent="0.25"/>
    <row r="92" s="212" customFormat="1" x14ac:dyDescent="0.25"/>
    <row r="93" s="212" customFormat="1" x14ac:dyDescent="0.25"/>
    <row r="94" s="212" customFormat="1" x14ac:dyDescent="0.25"/>
    <row r="95" s="212" customFormat="1" x14ac:dyDescent="0.25"/>
    <row r="96" s="212" customFormat="1" x14ac:dyDescent="0.25"/>
    <row r="97" s="212" customFormat="1" x14ac:dyDescent="0.25"/>
    <row r="98" s="212" customFormat="1" x14ac:dyDescent="0.25"/>
    <row r="99" s="212" customFormat="1" x14ac:dyDescent="0.25"/>
    <row r="100" s="212" customFormat="1" x14ac:dyDescent="0.25"/>
    <row r="101" s="212" customFormat="1" x14ac:dyDescent="0.25"/>
    <row r="102" s="212" customFormat="1" x14ac:dyDescent="0.25"/>
    <row r="103" s="212" customFormat="1" x14ac:dyDescent="0.25"/>
    <row r="104" s="212" customFormat="1" x14ac:dyDescent="0.25"/>
    <row r="105" s="212" customFormat="1" x14ac:dyDescent="0.25"/>
    <row r="106" s="212" customFormat="1" x14ac:dyDescent="0.25"/>
    <row r="107" s="212" customFormat="1" x14ac:dyDescent="0.25"/>
    <row r="108" s="212" customFormat="1" x14ac:dyDescent="0.25"/>
    <row r="109" s="212" customFormat="1" x14ac:dyDescent="0.25"/>
    <row r="110" s="212" customFormat="1" x14ac:dyDescent="0.25"/>
    <row r="111" s="212" customFormat="1" x14ac:dyDescent="0.25"/>
    <row r="112" s="212" customFormat="1" x14ac:dyDescent="0.25"/>
    <row r="113" s="212" customFormat="1" x14ac:dyDescent="0.25"/>
    <row r="114" s="212" customFormat="1" x14ac:dyDescent="0.25"/>
    <row r="115" s="212" customFormat="1" x14ac:dyDescent="0.25"/>
    <row r="116" s="212" customFormat="1" x14ac:dyDescent="0.25"/>
    <row r="117" s="212" customFormat="1" x14ac:dyDescent="0.25"/>
    <row r="118" s="212" customFormat="1" x14ac:dyDescent="0.25"/>
    <row r="119" s="212" customFormat="1" x14ac:dyDescent="0.25"/>
    <row r="120" s="212" customFormat="1" x14ac:dyDescent="0.25"/>
    <row r="121" s="212" customFormat="1" x14ac:dyDescent="0.25"/>
    <row r="122" s="212" customFormat="1" x14ac:dyDescent="0.25"/>
    <row r="123" s="212" customFormat="1" x14ac:dyDescent="0.25"/>
    <row r="124" s="212" customFormat="1" x14ac:dyDescent="0.25"/>
    <row r="125" s="212" customFormat="1" x14ac:dyDescent="0.25"/>
    <row r="126" s="212" customFormat="1" x14ac:dyDescent="0.25"/>
    <row r="127" s="212" customFormat="1" x14ac:dyDescent="0.25"/>
    <row r="128" s="212" customFormat="1" x14ac:dyDescent="0.25"/>
    <row r="129" s="212" customFormat="1" x14ac:dyDescent="0.25"/>
    <row r="130" s="212" customFormat="1" x14ac:dyDescent="0.25"/>
    <row r="131" s="212" customFormat="1" x14ac:dyDescent="0.25"/>
    <row r="132" s="212" customFormat="1" x14ac:dyDescent="0.25"/>
    <row r="133" s="212" customFormat="1" x14ac:dyDescent="0.25"/>
    <row r="134" s="212" customFormat="1" x14ac:dyDescent="0.25"/>
    <row r="135" s="212" customFormat="1" x14ac:dyDescent="0.25"/>
    <row r="136" s="212" customFormat="1" x14ac:dyDescent="0.25"/>
    <row r="137" s="212" customFormat="1" x14ac:dyDescent="0.25"/>
    <row r="138" s="212" customFormat="1" x14ac:dyDescent="0.25"/>
    <row r="139" s="212" customFormat="1" x14ac:dyDescent="0.25"/>
    <row r="140" s="212" customFormat="1" x14ac:dyDescent="0.25"/>
    <row r="141" s="212" customFormat="1" x14ac:dyDescent="0.25"/>
    <row r="142" s="212" customFormat="1" x14ac:dyDescent="0.25"/>
    <row r="143" s="212" customFormat="1" x14ac:dyDescent="0.25"/>
    <row r="144" s="212" customFormat="1" x14ac:dyDescent="0.25"/>
    <row r="145" s="212" customFormat="1" x14ac:dyDescent="0.25"/>
    <row r="146" s="212" customFormat="1" x14ac:dyDescent="0.25"/>
    <row r="147" s="212" customFormat="1" x14ac:dyDescent="0.25"/>
    <row r="148" s="212" customFormat="1" x14ac:dyDescent="0.25"/>
    <row r="149" s="212" customFormat="1" x14ac:dyDescent="0.25"/>
    <row r="150" s="212" customFormat="1" x14ac:dyDescent="0.25"/>
    <row r="151" s="212" customFormat="1" x14ac:dyDescent="0.25"/>
    <row r="152" s="212" customFormat="1" x14ac:dyDescent="0.25"/>
    <row r="153" s="212" customFormat="1" x14ac:dyDescent="0.25"/>
    <row r="154" s="212" customFormat="1" x14ac:dyDescent="0.25"/>
    <row r="155" s="212" customFormat="1" x14ac:dyDescent="0.25"/>
    <row r="156" s="212" customFormat="1" x14ac:dyDescent="0.25"/>
    <row r="157" s="212" customFormat="1" x14ac:dyDescent="0.25"/>
    <row r="158" s="212" customFormat="1" x14ac:dyDescent="0.25"/>
    <row r="159" s="212" customFormat="1" x14ac:dyDescent="0.25"/>
    <row r="160" s="212" customFormat="1" x14ac:dyDescent="0.25"/>
    <row r="161" s="212" customFormat="1" x14ac:dyDescent="0.25"/>
    <row r="162" s="212" customFormat="1" x14ac:dyDescent="0.25"/>
    <row r="163" s="212" customFormat="1" x14ac:dyDescent="0.25"/>
    <row r="164" s="212" customFormat="1" x14ac:dyDescent="0.25"/>
    <row r="165" s="212" customFormat="1" x14ac:dyDescent="0.25"/>
    <row r="166" s="212" customFormat="1" x14ac:dyDescent="0.25"/>
    <row r="167" s="212" customFormat="1" x14ac:dyDescent="0.25"/>
    <row r="168" s="212" customFormat="1" x14ac:dyDescent="0.25"/>
    <row r="169" s="212" customFormat="1" x14ac:dyDescent="0.25"/>
    <row r="170" s="212" customFormat="1" x14ac:dyDescent="0.25"/>
    <row r="171" s="212" customFormat="1" x14ac:dyDescent="0.25"/>
    <row r="172" s="212" customFormat="1" x14ac:dyDescent="0.25"/>
    <row r="173" s="212" customFormat="1" x14ac:dyDescent="0.25"/>
    <row r="174" s="212" customFormat="1" x14ac:dyDescent="0.25"/>
    <row r="175" s="212" customFormat="1" x14ac:dyDescent="0.25"/>
    <row r="176" s="212" customFormat="1" x14ac:dyDescent="0.25"/>
    <row r="177" s="212" customFormat="1" x14ac:dyDescent="0.25"/>
    <row r="178" s="212" customFormat="1" x14ac:dyDescent="0.25"/>
    <row r="179" s="212" customFormat="1" x14ac:dyDescent="0.25"/>
    <row r="180" s="212" customFormat="1" x14ac:dyDescent="0.25"/>
    <row r="181" s="212" customFormat="1" x14ac:dyDescent="0.25"/>
    <row r="182" s="212" customFormat="1" x14ac:dyDescent="0.25"/>
    <row r="183" s="212" customFormat="1" x14ac:dyDescent="0.25"/>
    <row r="184" s="212" customFormat="1" x14ac:dyDescent="0.25"/>
    <row r="185" s="212" customFormat="1" x14ac:dyDescent="0.25"/>
    <row r="186" s="212" customFormat="1" x14ac:dyDescent="0.25"/>
    <row r="187" s="212" customFormat="1" x14ac:dyDescent="0.25"/>
    <row r="188" s="212" customFormat="1" x14ac:dyDescent="0.25"/>
    <row r="189" s="212" customFormat="1" x14ac:dyDescent="0.25"/>
    <row r="190" s="212" customFormat="1" x14ac:dyDescent="0.25"/>
    <row r="191" s="212" customFormat="1" x14ac:dyDescent="0.25"/>
    <row r="192" s="212" customFormat="1" x14ac:dyDescent="0.25"/>
    <row r="193" s="212" customFormat="1" x14ac:dyDescent="0.25"/>
    <row r="194" s="212" customFormat="1" x14ac:dyDescent="0.25"/>
    <row r="195" s="212" customFormat="1" x14ac:dyDescent="0.25"/>
    <row r="196" s="212" customFormat="1" x14ac:dyDescent="0.25"/>
    <row r="197" s="212" customFormat="1" x14ac:dyDescent="0.25"/>
    <row r="198" s="212" customFormat="1" x14ac:dyDescent="0.25"/>
    <row r="199" s="212" customFormat="1" x14ac:dyDescent="0.25"/>
    <row r="200" s="212" customFormat="1" x14ac:dyDescent="0.25"/>
    <row r="201" s="212" customFormat="1" x14ac:dyDescent="0.25"/>
    <row r="202" s="212" customFormat="1" x14ac:dyDescent="0.25"/>
    <row r="203" s="212" customFormat="1" x14ac:dyDescent="0.25"/>
    <row r="204" s="212" customFormat="1" x14ac:dyDescent="0.25"/>
    <row r="205" s="212" customFormat="1" x14ac:dyDescent="0.25"/>
    <row r="206" s="212" customFormat="1" x14ac:dyDescent="0.25"/>
    <row r="207" s="212" customFormat="1" x14ac:dyDescent="0.25"/>
    <row r="208" s="212" customFormat="1" x14ac:dyDescent="0.25"/>
    <row r="209" s="212" customFormat="1" x14ac:dyDescent="0.25"/>
    <row r="210" s="212" customFormat="1" x14ac:dyDescent="0.25"/>
    <row r="211" s="212" customFormat="1" x14ac:dyDescent="0.25"/>
    <row r="212" s="212" customFormat="1" x14ac:dyDescent="0.25"/>
    <row r="213" s="212" customFormat="1" x14ac:dyDescent="0.25"/>
    <row r="214" s="212" customFormat="1" x14ac:dyDescent="0.25"/>
    <row r="215" s="212" customFormat="1" x14ac:dyDescent="0.25"/>
    <row r="216" s="212" customFormat="1" x14ac:dyDescent="0.25"/>
    <row r="217" s="212" customFormat="1" x14ac:dyDescent="0.25"/>
    <row r="218" s="212" customFormat="1" x14ac:dyDescent="0.25"/>
    <row r="219" s="212" customFormat="1" x14ac:dyDescent="0.25"/>
    <row r="220" s="212" customFormat="1" x14ac:dyDescent="0.25"/>
    <row r="221" s="212" customFormat="1" x14ac:dyDescent="0.25"/>
    <row r="222" s="212" customFormat="1" x14ac:dyDescent="0.25"/>
    <row r="223" s="212" customFormat="1" x14ac:dyDescent="0.25"/>
    <row r="224" s="212" customFormat="1" x14ac:dyDescent="0.25"/>
    <row r="225" s="212" customFormat="1" x14ac:dyDescent="0.25"/>
    <row r="226" s="212" customFormat="1" x14ac:dyDescent="0.25"/>
    <row r="227" s="212" customFormat="1" x14ac:dyDescent="0.25"/>
    <row r="228" s="212" customFormat="1" x14ac:dyDescent="0.25"/>
    <row r="229" s="212" customFormat="1" x14ac:dyDescent="0.25"/>
    <row r="230" s="212" customFormat="1" x14ac:dyDescent="0.25"/>
    <row r="231" s="212" customFormat="1" x14ac:dyDescent="0.25"/>
    <row r="232" s="212" customFormat="1" x14ac:dyDescent="0.25"/>
    <row r="233" s="212" customFormat="1" x14ac:dyDescent="0.25"/>
    <row r="234" s="212" customFormat="1" x14ac:dyDescent="0.25"/>
    <row r="235" s="212" customFormat="1" x14ac:dyDescent="0.25"/>
    <row r="236" s="212" customFormat="1" x14ac:dyDescent="0.25"/>
    <row r="237" s="212" customFormat="1" x14ac:dyDescent="0.25"/>
    <row r="238" s="212" customFormat="1" x14ac:dyDescent="0.25"/>
    <row r="239" s="212" customFormat="1" x14ac:dyDescent="0.25"/>
    <row r="240" s="212" customFormat="1" x14ac:dyDescent="0.25"/>
    <row r="241" s="212" customFormat="1" x14ac:dyDescent="0.25"/>
    <row r="242" s="212" customFormat="1" x14ac:dyDescent="0.25"/>
  </sheetData>
  <mergeCells count="2">
    <mergeCell ref="A6:G6"/>
    <mergeCell ref="A7:G7"/>
  </mergeCells>
  <hyperlinks>
    <hyperlink ref="A13" r:id="rId1" display="mailto:joubert.nadia@ccmsa.msa.fr" xr:uid="{5E75EF5F-5AE9-4701-BB48-12CE0E5D3F49}"/>
    <hyperlink ref="A17" r:id="rId2" xr:uid="{2095048B-BF0B-47F1-BB37-D25E9F0629D9}"/>
    <hyperlink ref="A21" r:id="rId3" xr:uid="{A592EB72-60AB-406E-83D0-07FC5F31E44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62D4-9850-4022-9830-80D583428C27}">
  <dimension ref="A1"/>
  <sheetViews>
    <sheetView zoomScale="90" zoomScaleNormal="90" workbookViewId="0">
      <selection activeCell="P33" sqref="P33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F0FD-C5DE-4D6A-8C90-F469F54E717C}">
  <dimension ref="A1"/>
  <sheetViews>
    <sheetView zoomScale="90" zoomScaleNormal="90" workbookViewId="0"/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3641-F206-4FF6-846C-DA0EB795B195}">
  <dimension ref="A1"/>
  <sheetViews>
    <sheetView topLeftCell="A3" workbookViewId="0">
      <selection activeCell="N30" sqref="N30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>
    <tabColor indexed="24"/>
  </sheetPr>
  <dimension ref="A1:AP88"/>
  <sheetViews>
    <sheetView zoomScale="110" zoomScaleNormal="110" workbookViewId="0">
      <pane xSplit="1" ySplit="2" topLeftCell="U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53125" defaultRowHeight="15.5" x14ac:dyDescent="0.45"/>
  <cols>
    <col min="1" max="1" width="37.1796875" style="9" bestFit="1" customWidth="1"/>
    <col min="2" max="2" width="14.7265625" style="39" customWidth="1"/>
    <col min="3" max="14" width="14.7265625" style="9" customWidth="1"/>
    <col min="15" max="15" width="14.453125" style="9" customWidth="1"/>
    <col min="16" max="16" width="15.26953125" style="9" customWidth="1"/>
    <col min="17" max="17" width="16.453125" style="9" customWidth="1"/>
    <col min="18" max="19" width="14.1796875" style="9" customWidth="1"/>
    <col min="20" max="21" width="14.81640625" style="9" customWidth="1"/>
    <col min="22" max="22" width="14.81640625" style="261" customWidth="1"/>
    <col min="23" max="24" width="15.26953125" style="261" bestFit="1" customWidth="1"/>
    <col min="25" max="25" width="15.26953125" style="261" customWidth="1"/>
    <col min="26" max="26" width="5.453125" style="9" customWidth="1"/>
    <col min="27" max="30" width="14.1796875" style="9" hidden="1" customWidth="1"/>
    <col min="31" max="31" width="14.81640625" style="9" hidden="1" customWidth="1"/>
    <col min="32" max="32" width="14.1796875" style="9" hidden="1" customWidth="1"/>
    <col min="33" max="33" width="14.81640625" style="9" hidden="1" customWidth="1"/>
    <col min="34" max="34" width="0" style="9" hidden="1" customWidth="1"/>
    <col min="35" max="35" width="13.81640625" style="9" bestFit="1" customWidth="1"/>
    <col min="36" max="36" width="11.453125" style="9"/>
    <col min="37" max="37" width="14.1796875" style="9" bestFit="1" customWidth="1"/>
    <col min="38" max="38" width="11.453125" style="9"/>
    <col min="39" max="39" width="14.81640625" style="9" bestFit="1" customWidth="1"/>
    <col min="40" max="40" width="13.81640625" style="9" bestFit="1" customWidth="1"/>
    <col min="41" max="41" width="15.1796875" style="9" bestFit="1" customWidth="1"/>
    <col min="42" max="16384" width="11.453125" style="9"/>
  </cols>
  <sheetData>
    <row r="1" spans="1:42" ht="39" x14ac:dyDescent="0.5">
      <c r="A1" s="8" t="s">
        <v>6</v>
      </c>
      <c r="B1" s="563" t="s">
        <v>7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5"/>
      <c r="Q1" s="146" t="s">
        <v>101</v>
      </c>
      <c r="AC1"/>
      <c r="AG1"/>
      <c r="AH1"/>
      <c r="AI1"/>
      <c r="AJ1"/>
      <c r="AK1"/>
      <c r="AL1"/>
      <c r="AM1"/>
      <c r="AN1"/>
      <c r="AO1"/>
      <c r="AP1"/>
    </row>
    <row r="2" spans="1:42" s="14" customFormat="1" x14ac:dyDescent="0.45">
      <c r="A2" s="10" t="s">
        <v>8</v>
      </c>
      <c r="B2" s="45">
        <v>2000</v>
      </c>
      <c r="C2" s="11">
        <v>2001</v>
      </c>
      <c r="D2" s="11">
        <v>2002</v>
      </c>
      <c r="E2" s="11">
        <v>2003</v>
      </c>
      <c r="F2" s="12">
        <v>2004</v>
      </c>
      <c r="G2" s="12">
        <v>2005</v>
      </c>
      <c r="H2" s="12">
        <v>2006</v>
      </c>
      <c r="I2" s="12">
        <v>2007</v>
      </c>
      <c r="J2" s="12">
        <v>2008</v>
      </c>
      <c r="K2" s="118">
        <v>2009</v>
      </c>
      <c r="L2" s="116">
        <v>2010</v>
      </c>
      <c r="M2" s="116">
        <v>2011</v>
      </c>
      <c r="N2" s="124">
        <v>2012</v>
      </c>
      <c r="O2" s="124">
        <v>2013</v>
      </c>
      <c r="P2" s="124">
        <v>2014</v>
      </c>
      <c r="Q2" s="124">
        <v>2015</v>
      </c>
      <c r="R2" s="124">
        <v>2016</v>
      </c>
      <c r="S2" s="124">
        <v>2017</v>
      </c>
      <c r="T2" s="124">
        <v>2018</v>
      </c>
      <c r="U2" s="124">
        <v>2019</v>
      </c>
      <c r="V2" s="262">
        <v>2020</v>
      </c>
      <c r="W2" s="262">
        <v>2021</v>
      </c>
      <c r="X2" s="262">
        <v>2022</v>
      </c>
      <c r="Y2" s="479">
        <v>2023</v>
      </c>
      <c r="AA2" s="259">
        <v>2018</v>
      </c>
      <c r="AB2" s="259" t="s">
        <v>82</v>
      </c>
      <c r="AC2" s="259">
        <v>2019</v>
      </c>
      <c r="AD2" s="259" t="s">
        <v>82</v>
      </c>
      <c r="AE2" s="259">
        <v>2020</v>
      </c>
      <c r="AF2" s="259" t="s">
        <v>82</v>
      </c>
      <c r="AG2" s="259">
        <v>2021</v>
      </c>
      <c r="AH2" s="259" t="s">
        <v>82</v>
      </c>
      <c r="AI2" s="259">
        <v>2022</v>
      </c>
      <c r="AJ2" s="259" t="s">
        <v>82</v>
      </c>
      <c r="AK2" s="259">
        <v>2023</v>
      </c>
      <c r="AL2" s="259" t="s">
        <v>82</v>
      </c>
      <c r="AM2" s="480" t="s">
        <v>126</v>
      </c>
      <c r="AN2" s="480" t="s">
        <v>82</v>
      </c>
      <c r="AO2" s="480" t="s">
        <v>140</v>
      </c>
      <c r="AP2" s="480" t="s">
        <v>82</v>
      </c>
    </row>
    <row r="3" spans="1:42" x14ac:dyDescent="0.45">
      <c r="A3" s="180" t="s">
        <v>115</v>
      </c>
      <c r="B3" s="181">
        <v>3892931622.0615029</v>
      </c>
      <c r="C3" s="182">
        <v>4162843653.4617348</v>
      </c>
      <c r="D3" s="182">
        <v>4341083323.4050417</v>
      </c>
      <c r="E3" s="182">
        <v>5052448584.0365019</v>
      </c>
      <c r="F3" s="183">
        <v>4991023616.3020096</v>
      </c>
      <c r="G3" s="183">
        <v>5032351254.5375977</v>
      </c>
      <c r="H3" s="183">
        <v>4879398157.6872711</v>
      </c>
      <c r="I3" s="183">
        <v>4807941841.9895058</v>
      </c>
      <c r="J3" s="183">
        <v>4921168027.3786478</v>
      </c>
      <c r="K3" s="184">
        <v>4817627418.5370998</v>
      </c>
      <c r="L3" s="185">
        <v>4870410260.297308</v>
      </c>
      <c r="M3" s="185">
        <v>4611966777</v>
      </c>
      <c r="N3" s="186">
        <v>4810188236.1096458</v>
      </c>
      <c r="O3" s="186">
        <v>4854208693.8917522</v>
      </c>
      <c r="P3" s="186">
        <v>4897850924.9212961</v>
      </c>
      <c r="Q3" s="186">
        <v>4946354376</v>
      </c>
      <c r="R3" s="186">
        <v>4653582841.9545803</v>
      </c>
      <c r="S3" s="186">
        <v>4540954737</v>
      </c>
      <c r="T3" s="186">
        <v>4589196426</v>
      </c>
      <c r="U3" s="186">
        <v>4423457270</v>
      </c>
      <c r="V3" s="186">
        <v>3966313109</v>
      </c>
      <c r="W3" s="186">
        <v>4143123209</v>
      </c>
      <c r="X3" s="186">
        <v>4097810664</v>
      </c>
      <c r="Y3" s="477">
        <v>4073503482</v>
      </c>
      <c r="Z3" s="136"/>
      <c r="AA3" s="249">
        <f t="shared" ref="AA3:AA15" si="0">T3</f>
        <v>4589196426</v>
      </c>
      <c r="AB3" s="250">
        <f>AA3/S3-1</f>
        <v>1.0623688584015856E-2</v>
      </c>
      <c r="AC3" s="249">
        <f t="shared" ref="AC3:AC15" si="1">U3</f>
        <v>4423457270</v>
      </c>
      <c r="AD3" s="250">
        <f>AC3/AA3-1</f>
        <v>-3.6115071270649501E-2</v>
      </c>
      <c r="AE3" s="249">
        <f t="shared" ref="AE3:AE15" si="2">V3</f>
        <v>3966313109</v>
      </c>
      <c r="AF3" s="250">
        <f>AE3/AC3-1</f>
        <v>-0.10334544522456757</v>
      </c>
      <c r="AG3" s="249">
        <f t="shared" ref="AG3:AG15" si="3">W3</f>
        <v>4143123209</v>
      </c>
      <c r="AH3" s="250">
        <f t="shared" ref="AH3:AH15" si="4">AG3/AE3-1</f>
        <v>4.457794811982918E-2</v>
      </c>
      <c r="AI3" s="387">
        <f>X3</f>
        <v>4097810664</v>
      </c>
      <c r="AJ3" s="250">
        <f t="shared" ref="AJ3:AJ15" si="5">AI3/AG3-1</f>
        <v>-1.0936808468927195E-2</v>
      </c>
      <c r="AK3" s="387">
        <f t="shared" ref="AK3:AK15" si="6">Y3</f>
        <v>4073503482</v>
      </c>
      <c r="AL3" s="250">
        <f t="shared" ref="AL3:AP15" si="7">AK3/AI3-1</f>
        <v>-5.9317484366817608E-3</v>
      </c>
      <c r="AM3" s="283">
        <v>4120000000</v>
      </c>
      <c r="AN3" s="250">
        <f t="shared" si="7"/>
        <v>1.1414380325304396E-2</v>
      </c>
      <c r="AO3" s="283">
        <v>3872000000</v>
      </c>
      <c r="AP3" s="250">
        <f t="shared" si="7"/>
        <v>-6.0194174757281504E-2</v>
      </c>
    </row>
    <row r="4" spans="1:42" ht="16.5" x14ac:dyDescent="0.5">
      <c r="A4" s="187" t="s">
        <v>10</v>
      </c>
      <c r="B4" s="188">
        <v>-2175619105.2379408</v>
      </c>
      <c r="C4" s="189">
        <v>-2197464472.1220412</v>
      </c>
      <c r="D4" s="189">
        <v>-2244739850.1673088</v>
      </c>
      <c r="E4" s="189">
        <v>-2172094743.5626774</v>
      </c>
      <c r="F4" s="190">
        <v>-2185420582.014832</v>
      </c>
      <c r="G4" s="190">
        <v>-2203985530.7867756</v>
      </c>
      <c r="H4" s="190">
        <v>-2230463908.0503545</v>
      </c>
      <c r="I4" s="190">
        <v>-2249846143.2505283</v>
      </c>
      <c r="J4" s="190">
        <v>-2253775857.5862336</v>
      </c>
      <c r="K4" s="191">
        <v>-2267114738.1062064</v>
      </c>
      <c r="L4" s="192">
        <v>-2273984107.4291654</v>
      </c>
      <c r="M4" s="192">
        <v>-2122356323</v>
      </c>
      <c r="N4" s="193">
        <v>-2185424170.3407698</v>
      </c>
      <c r="O4" s="193">
        <v>-2236860137.749558</v>
      </c>
      <c r="P4" s="193">
        <v>-2277563749.9882131</v>
      </c>
      <c r="Q4" s="193">
        <v>-2287368039</v>
      </c>
      <c r="R4" s="193">
        <v>-2390981881.081543</v>
      </c>
      <c r="S4" s="193">
        <v>-2517910464</v>
      </c>
      <c r="T4" s="193">
        <v>-2559937924</v>
      </c>
      <c r="U4" s="193">
        <v>-2560352419</v>
      </c>
      <c r="V4" s="193">
        <v>-2541185583</v>
      </c>
      <c r="W4" s="193">
        <v>-2488617245</v>
      </c>
      <c r="X4" s="193">
        <v>-2548294773</v>
      </c>
      <c r="Y4" s="478">
        <v>-2519039080</v>
      </c>
      <c r="Z4" s="136"/>
      <c r="AA4" s="249">
        <f t="shared" si="0"/>
        <v>-2559937924</v>
      </c>
      <c r="AB4" s="250">
        <f t="shared" ref="AB4:AB28" si="8">AA4/S4-1</f>
        <v>1.6691403686068584E-2</v>
      </c>
      <c r="AC4" s="251">
        <f t="shared" si="1"/>
        <v>-2560352419</v>
      </c>
      <c r="AD4" s="250">
        <f t="shared" ref="AD4:AD28" si="9">AC4/AA4-1</f>
        <v>1.6191603558590728E-4</v>
      </c>
      <c r="AE4" s="251">
        <f t="shared" si="2"/>
        <v>-2541185583</v>
      </c>
      <c r="AF4" s="250">
        <f t="shared" ref="AF4:AF27" si="10">AE4/AC4-1</f>
        <v>-7.4860147602203719E-3</v>
      </c>
      <c r="AG4" s="390">
        <f t="shared" si="3"/>
        <v>-2488617245</v>
      </c>
      <c r="AH4" s="391">
        <f t="shared" si="4"/>
        <v>-2.0686540310818402E-2</v>
      </c>
      <c r="AI4" s="390">
        <f t="shared" ref="AI4:AI15" si="11">X4</f>
        <v>-2548294773</v>
      </c>
      <c r="AJ4" s="391">
        <f t="shared" si="5"/>
        <v>2.398019547598218E-2</v>
      </c>
      <c r="AK4" s="390">
        <f t="shared" si="6"/>
        <v>-2519039080</v>
      </c>
      <c r="AL4" s="391">
        <f t="shared" si="7"/>
        <v>-1.1480497982405136E-2</v>
      </c>
      <c r="AM4" s="284">
        <v>-2595000000</v>
      </c>
      <c r="AN4" s="250">
        <f t="shared" si="7"/>
        <v>3.0154720743752916E-2</v>
      </c>
      <c r="AO4" s="284">
        <v>-2583000000</v>
      </c>
      <c r="AP4" s="250">
        <f t="shared" si="7"/>
        <v>-4.6242774566473965E-3</v>
      </c>
    </row>
    <row r="5" spans="1:42" x14ac:dyDescent="0.45">
      <c r="A5" s="180" t="s">
        <v>116</v>
      </c>
      <c r="B5" s="188">
        <v>1788704212.7232223</v>
      </c>
      <c r="C5" s="189">
        <v>1717773527.9011889</v>
      </c>
      <c r="D5" s="189">
        <v>1705111313.1297669</v>
      </c>
      <c r="E5" s="189">
        <v>1422842310.8361905</v>
      </c>
      <c r="F5" s="190">
        <v>1391729955.929904</v>
      </c>
      <c r="G5" s="190">
        <v>1321479331.6154518</v>
      </c>
      <c r="H5" s="190">
        <v>1309784732.4952195</v>
      </c>
      <c r="I5" s="190">
        <v>1233511949.0775318</v>
      </c>
      <c r="J5" s="190">
        <v>1079074628.155201</v>
      </c>
      <c r="K5" s="194">
        <v>1004157986.1548531</v>
      </c>
      <c r="L5" s="195">
        <v>802399470.91060686</v>
      </c>
      <c r="M5" s="195">
        <v>719439138</v>
      </c>
      <c r="N5" s="186">
        <v>636682347.52851772</v>
      </c>
      <c r="O5" s="186">
        <v>564963080.1601758</v>
      </c>
      <c r="P5" s="186">
        <v>495882198.80817091</v>
      </c>
      <c r="Q5" s="186">
        <v>476094924</v>
      </c>
      <c r="R5" s="186">
        <v>411177389.36907917</v>
      </c>
      <c r="S5" s="186">
        <v>316404035</v>
      </c>
      <c r="T5" s="186">
        <v>172983981</v>
      </c>
      <c r="U5" s="186">
        <v>84065561</v>
      </c>
      <c r="V5" s="186">
        <v>91037563</v>
      </c>
      <c r="W5" s="186">
        <v>-195192276</v>
      </c>
      <c r="X5" s="186">
        <v>-364836275</v>
      </c>
      <c r="Y5" s="477">
        <v>-552296809</v>
      </c>
      <c r="Z5" s="136"/>
      <c r="AA5" s="249">
        <f t="shared" si="0"/>
        <v>172983981</v>
      </c>
      <c r="AB5" s="250">
        <f t="shared" si="8"/>
        <v>-0.45328136855144718</v>
      </c>
      <c r="AC5" s="249">
        <f t="shared" si="1"/>
        <v>84065561</v>
      </c>
      <c r="AD5" s="250">
        <f t="shared" si="9"/>
        <v>-0.51402690287258457</v>
      </c>
      <c r="AE5" s="249">
        <f t="shared" si="2"/>
        <v>91037563</v>
      </c>
      <c r="AF5" s="250">
        <f t="shared" si="10"/>
        <v>8.2935293800037835E-2</v>
      </c>
      <c r="AG5" s="249">
        <f t="shared" si="3"/>
        <v>-195192276</v>
      </c>
      <c r="AH5" s="250">
        <f t="shared" si="4"/>
        <v>-3.144085030044137</v>
      </c>
      <c r="AI5" s="249">
        <f t="shared" si="11"/>
        <v>-364836275</v>
      </c>
      <c r="AJ5" s="260">
        <f t="shared" si="5"/>
        <v>0.86911225421645266</v>
      </c>
      <c r="AK5" s="249">
        <f t="shared" si="6"/>
        <v>-552296809</v>
      </c>
      <c r="AL5" s="260">
        <f t="shared" si="7"/>
        <v>0.51382098449503144</v>
      </c>
      <c r="AM5" s="283">
        <v>-720000000</v>
      </c>
      <c r="AN5" s="260">
        <f t="shared" si="7"/>
        <v>0.30364685847750383</v>
      </c>
      <c r="AO5" s="283">
        <v>-841000000</v>
      </c>
      <c r="AP5" s="260">
        <f t="shared" si="7"/>
        <v>0.16805555555555562</v>
      </c>
    </row>
    <row r="6" spans="1:42" x14ac:dyDescent="0.45">
      <c r="A6" s="196" t="s">
        <v>117</v>
      </c>
      <c r="B6" s="188">
        <v>56586725.938355252</v>
      </c>
      <c r="C6" s="189">
        <v>56016043.098732233</v>
      </c>
      <c r="D6" s="189">
        <v>35209142.845884249</v>
      </c>
      <c r="E6" s="189">
        <v>16196409.429244384</v>
      </c>
      <c r="F6" s="190">
        <v>26170973.516297042</v>
      </c>
      <c r="G6" s="190">
        <v>25269542.893091559</v>
      </c>
      <c r="H6" s="190">
        <v>19384712.090061739</v>
      </c>
      <c r="I6" s="190">
        <v>35884270.233364835</v>
      </c>
      <c r="J6" s="190">
        <v>50387820.456752345</v>
      </c>
      <c r="K6" s="194">
        <v>66200780.382994637</v>
      </c>
      <c r="L6" s="195">
        <v>87088034.004762232</v>
      </c>
      <c r="M6" s="195">
        <v>95460801</v>
      </c>
      <c r="N6" s="186">
        <v>83890500.349267721</v>
      </c>
      <c r="O6" s="186">
        <v>104008528.1662953</v>
      </c>
      <c r="P6" s="186">
        <v>108233773.04571149</v>
      </c>
      <c r="Q6" s="186">
        <v>117404657</v>
      </c>
      <c r="R6" s="186">
        <v>125332349.6893692</v>
      </c>
      <c r="S6" s="186">
        <v>140473623</v>
      </c>
      <c r="T6" s="186">
        <v>135238346</v>
      </c>
      <c r="U6" s="186">
        <v>145327408</v>
      </c>
      <c r="V6" s="186">
        <v>168882737</v>
      </c>
      <c r="W6" s="186">
        <v>127538663</v>
      </c>
      <c r="X6" s="186">
        <v>103912490</v>
      </c>
      <c r="Y6" s="477">
        <v>85404573</v>
      </c>
      <c r="Z6" s="136"/>
      <c r="AA6" s="249">
        <f t="shared" si="0"/>
        <v>135238346</v>
      </c>
      <c r="AB6" s="250">
        <f t="shared" si="8"/>
        <v>-3.7268754718457031E-2</v>
      </c>
      <c r="AC6" s="249">
        <f t="shared" si="1"/>
        <v>145327408</v>
      </c>
      <c r="AD6" s="250">
        <f t="shared" si="9"/>
        <v>7.4602080685015171E-2</v>
      </c>
      <c r="AE6" s="249">
        <f t="shared" si="2"/>
        <v>168882737</v>
      </c>
      <c r="AF6" s="250">
        <f t="shared" si="10"/>
        <v>0.16208456012646977</v>
      </c>
      <c r="AG6" s="249">
        <f t="shared" si="3"/>
        <v>127538663</v>
      </c>
      <c r="AH6" s="250">
        <f t="shared" si="4"/>
        <v>-0.2448093554997276</v>
      </c>
      <c r="AI6" s="249">
        <f t="shared" si="11"/>
        <v>103912490</v>
      </c>
      <c r="AJ6" s="250">
        <f t="shared" si="5"/>
        <v>-0.18524714344857141</v>
      </c>
      <c r="AK6" s="249">
        <f t="shared" si="6"/>
        <v>85404573</v>
      </c>
      <c r="AL6" s="250">
        <f t="shared" si="7"/>
        <v>-0.17811061018747598</v>
      </c>
      <c r="AM6" s="283">
        <v>72000000</v>
      </c>
      <c r="AN6" s="250">
        <f t="shared" si="7"/>
        <v>-0.15695380855074348</v>
      </c>
      <c r="AO6" s="283">
        <v>57000000</v>
      </c>
      <c r="AP6" s="250">
        <f t="shared" si="7"/>
        <v>-0.20833333333333337</v>
      </c>
    </row>
    <row r="7" spans="1:42" x14ac:dyDescent="0.45">
      <c r="A7" s="197" t="s">
        <v>118</v>
      </c>
      <c r="B7" s="188">
        <v>-11817594.06175052</v>
      </c>
      <c r="C7" s="189">
        <v>-18767534.552472901</v>
      </c>
      <c r="D7" s="189">
        <v>-17977367.581029236</v>
      </c>
      <c r="E7" s="189">
        <v>-23372122.433822021</v>
      </c>
      <c r="F7" s="190">
        <v>-22598991.819217257</v>
      </c>
      <c r="G7" s="190">
        <v>-23269532.457798671</v>
      </c>
      <c r="H7" s="190">
        <v>-24471630.668332346</v>
      </c>
      <c r="I7" s="190">
        <v>-26495277.102973878</v>
      </c>
      <c r="J7" s="190">
        <v>-26608675.456641965</v>
      </c>
      <c r="K7" s="194">
        <v>-24506938.453803152</v>
      </c>
      <c r="L7" s="195">
        <v>-29845295.913019311</v>
      </c>
      <c r="M7" s="195">
        <v>-30297185</v>
      </c>
      <c r="N7" s="186">
        <v>-35944019.638546623</v>
      </c>
      <c r="O7" s="186">
        <v>-41087314.952603228</v>
      </c>
      <c r="P7" s="186">
        <v>-46103014.16383674</v>
      </c>
      <c r="Q7" s="186">
        <v>-52140374</v>
      </c>
      <c r="R7" s="186">
        <v>-59087887.980317011</v>
      </c>
      <c r="S7" s="186">
        <v>-66201620</v>
      </c>
      <c r="T7" s="186">
        <v>-70745610</v>
      </c>
      <c r="U7" s="186">
        <v>-75225477</v>
      </c>
      <c r="V7" s="186">
        <v>-77545545</v>
      </c>
      <c r="W7" s="186">
        <v>-82346377</v>
      </c>
      <c r="X7" s="186">
        <v>-88429871</v>
      </c>
      <c r="Y7" s="477">
        <v>-94161970</v>
      </c>
      <c r="Z7" s="136"/>
      <c r="AA7" s="249">
        <f t="shared" si="0"/>
        <v>-70745610</v>
      </c>
      <c r="AB7" s="250">
        <f t="shared" si="8"/>
        <v>6.8638652649285703E-2</v>
      </c>
      <c r="AC7" s="249">
        <f t="shared" si="1"/>
        <v>-75225477</v>
      </c>
      <c r="AD7" s="250">
        <f t="shared" si="9"/>
        <v>6.3323604107731857E-2</v>
      </c>
      <c r="AE7" s="249">
        <f t="shared" si="2"/>
        <v>-77545545</v>
      </c>
      <c r="AF7" s="250">
        <f t="shared" si="10"/>
        <v>3.0841519290067065E-2</v>
      </c>
      <c r="AG7" s="249">
        <f t="shared" si="3"/>
        <v>-82346377</v>
      </c>
      <c r="AH7" s="250">
        <f t="shared" si="4"/>
        <v>6.1909836341984548E-2</v>
      </c>
      <c r="AI7" s="249">
        <f t="shared" si="11"/>
        <v>-88429871</v>
      </c>
      <c r="AJ7" s="250">
        <f t="shared" si="5"/>
        <v>7.3876887139794789E-2</v>
      </c>
      <c r="AK7" s="249">
        <f t="shared" si="6"/>
        <v>-94161970</v>
      </c>
      <c r="AL7" s="250">
        <f t="shared" si="7"/>
        <v>6.4820845435814345E-2</v>
      </c>
      <c r="AM7" s="283">
        <v>-101000000</v>
      </c>
      <c r="AN7" s="250">
        <f t="shared" si="7"/>
        <v>7.2619869783947744E-2</v>
      </c>
      <c r="AO7" s="283">
        <v>-105000000</v>
      </c>
      <c r="AP7" s="250">
        <f t="shared" si="7"/>
        <v>3.9603960396039639E-2</v>
      </c>
    </row>
    <row r="8" spans="1:42" x14ac:dyDescent="0.45">
      <c r="A8" s="198" t="s">
        <v>62</v>
      </c>
      <c r="B8" s="188">
        <v>1502593048.9815197</v>
      </c>
      <c r="C8" s="189">
        <v>1488120026.2686725</v>
      </c>
      <c r="D8" s="189">
        <v>1558664778.2094994</v>
      </c>
      <c r="E8" s="189">
        <v>1404878943.4121559</v>
      </c>
      <c r="F8" s="190">
        <v>1436415300.8922493</v>
      </c>
      <c r="G8" s="190">
        <v>1444073728.2800527</v>
      </c>
      <c r="H8" s="190">
        <v>1456397210.0413561</v>
      </c>
      <c r="I8" s="190">
        <v>1510599408.9777989</v>
      </c>
      <c r="J8" s="190">
        <v>1426605651.8906405</v>
      </c>
      <c r="K8" s="194">
        <v>1499301837.5319295</v>
      </c>
      <c r="L8" s="195">
        <v>1416460527.1924431</v>
      </c>
      <c r="M8" s="195">
        <v>1345572629</v>
      </c>
      <c r="N8" s="186">
        <v>1373436618.4883144</v>
      </c>
      <c r="O8" s="186">
        <v>1387824393.5003209</v>
      </c>
      <c r="P8" s="186">
        <v>1413016268.7148447</v>
      </c>
      <c r="Q8" s="186">
        <v>1426598568</v>
      </c>
      <c r="R8" s="186">
        <v>1407089123.5007231</v>
      </c>
      <c r="S8" s="186">
        <v>1350877842</v>
      </c>
      <c r="T8" s="186">
        <v>1209363906</v>
      </c>
      <c r="U8" s="186">
        <v>1065388348</v>
      </c>
      <c r="V8" s="186">
        <v>1119796919</v>
      </c>
      <c r="W8" s="186">
        <v>945023878</v>
      </c>
      <c r="X8" s="186">
        <v>789800961</v>
      </c>
      <c r="Y8" s="477">
        <v>618371132</v>
      </c>
      <c r="Z8" s="136"/>
      <c r="AA8" s="249">
        <f t="shared" si="0"/>
        <v>1209363906</v>
      </c>
      <c r="AB8" s="250">
        <f t="shared" si="8"/>
        <v>-0.10475701917686797</v>
      </c>
      <c r="AC8" s="249">
        <f t="shared" si="1"/>
        <v>1065388348</v>
      </c>
      <c r="AD8" s="250">
        <f t="shared" si="9"/>
        <v>-0.11905064909387164</v>
      </c>
      <c r="AE8" s="249">
        <f t="shared" si="2"/>
        <v>1119796919</v>
      </c>
      <c r="AF8" s="250">
        <f t="shared" si="10"/>
        <v>5.1069237900093878E-2</v>
      </c>
      <c r="AG8" s="249">
        <f t="shared" si="3"/>
        <v>945023878</v>
      </c>
      <c r="AH8" s="250">
        <f t="shared" si="4"/>
        <v>-0.15607565803634793</v>
      </c>
      <c r="AI8" s="387">
        <f t="shared" si="11"/>
        <v>789800961</v>
      </c>
      <c r="AJ8" s="250">
        <f t="shared" si="5"/>
        <v>-0.16425290472924958</v>
      </c>
      <c r="AK8" s="387">
        <f t="shared" si="6"/>
        <v>618371132</v>
      </c>
      <c r="AL8" s="250">
        <f t="shared" si="7"/>
        <v>-0.21705447000589306</v>
      </c>
      <c r="AM8" s="283">
        <v>475000000</v>
      </c>
      <c r="AN8" s="250">
        <f t="shared" si="7"/>
        <v>-0.23185288669005977</v>
      </c>
      <c r="AO8" s="283">
        <v>310000000</v>
      </c>
      <c r="AP8" s="250">
        <f t="shared" si="7"/>
        <v>-0.34736842105263155</v>
      </c>
    </row>
    <row r="9" spans="1:42" x14ac:dyDescent="0.45">
      <c r="A9" s="180" t="s">
        <v>119</v>
      </c>
      <c r="B9" s="188">
        <v>-318852185.31826794</v>
      </c>
      <c r="C9" s="189">
        <v>-320884088.59228265</v>
      </c>
      <c r="D9" s="189">
        <v>-324489689.87656993</v>
      </c>
      <c r="E9" s="189">
        <v>-309483633.57298315</v>
      </c>
      <c r="F9" s="190">
        <v>-310178523.73712367</v>
      </c>
      <c r="G9" s="190">
        <v>-309424602.00135386</v>
      </c>
      <c r="H9" s="190">
        <v>-309841651.79360235</v>
      </c>
      <c r="I9" s="190">
        <v>-308329977.9201979</v>
      </c>
      <c r="J9" s="190">
        <v>-303506433.86026359</v>
      </c>
      <c r="K9" s="194">
        <v>-298825572.51667893</v>
      </c>
      <c r="L9" s="195">
        <v>-293056930.11393422</v>
      </c>
      <c r="M9" s="195">
        <v>-261668754</v>
      </c>
      <c r="N9" s="186">
        <v>-261269210.05551887</v>
      </c>
      <c r="O9" s="186">
        <v>-258022486.39233461</v>
      </c>
      <c r="P9" s="186">
        <v>-250772112.81662554</v>
      </c>
      <c r="Q9" s="186">
        <v>-242301043</v>
      </c>
      <c r="R9" s="186">
        <v>-241149115.72050828</v>
      </c>
      <c r="S9" s="186">
        <v>-239303432</v>
      </c>
      <c r="T9" s="186">
        <v>-230378327</v>
      </c>
      <c r="U9" s="186">
        <v>-220305373</v>
      </c>
      <c r="V9" s="186">
        <v>-211733393</v>
      </c>
      <c r="W9" s="186">
        <v>-200483297</v>
      </c>
      <c r="X9" s="186">
        <v>-194194817</v>
      </c>
      <c r="Y9" s="477">
        <v>-190241257</v>
      </c>
      <c r="Z9" s="136"/>
      <c r="AA9" s="249">
        <f t="shared" si="0"/>
        <v>-230378327</v>
      </c>
      <c r="AB9" s="250">
        <f t="shared" si="8"/>
        <v>-3.7296184703276669E-2</v>
      </c>
      <c r="AC9" s="249">
        <f t="shared" si="1"/>
        <v>-220305373</v>
      </c>
      <c r="AD9" s="250">
        <f t="shared" si="9"/>
        <v>-4.3723531337216404E-2</v>
      </c>
      <c r="AE9" s="249">
        <f t="shared" si="2"/>
        <v>-211733393</v>
      </c>
      <c r="AF9" s="250">
        <f t="shared" si="10"/>
        <v>-3.8909536718380489E-2</v>
      </c>
      <c r="AG9" s="249">
        <f t="shared" si="3"/>
        <v>-200483297</v>
      </c>
      <c r="AH9" s="250">
        <f t="shared" si="4"/>
        <v>-5.3133309964007447E-2</v>
      </c>
      <c r="AI9" s="249">
        <f t="shared" si="11"/>
        <v>-194194817</v>
      </c>
      <c r="AJ9" s="250">
        <f t="shared" si="5"/>
        <v>-3.1366603074170274E-2</v>
      </c>
      <c r="AK9" s="249">
        <f t="shared" si="6"/>
        <v>-190241257</v>
      </c>
      <c r="AL9" s="250">
        <f t="shared" si="7"/>
        <v>-2.0358730789401092E-2</v>
      </c>
      <c r="AM9" s="283">
        <v>-193000000</v>
      </c>
      <c r="AN9" s="250">
        <f t="shared" si="7"/>
        <v>1.4501286647827349E-2</v>
      </c>
      <c r="AO9" s="283"/>
      <c r="AP9" s="250">
        <f t="shared" si="7"/>
        <v>-1</v>
      </c>
    </row>
    <row r="10" spans="1:42" x14ac:dyDescent="0.45">
      <c r="A10" s="180" t="s">
        <v>120</v>
      </c>
      <c r="B10" s="188">
        <v>-7027212.2709740996</v>
      </c>
      <c r="C10" s="189">
        <v>-7620374.8360498175</v>
      </c>
      <c r="D10" s="189">
        <v>3587398.3569781855</v>
      </c>
      <c r="E10" s="189">
        <v>-10258818.738508508</v>
      </c>
      <c r="F10" s="190">
        <v>-8870431.03151007</v>
      </c>
      <c r="G10" s="190">
        <v>-12888167.091147698</v>
      </c>
      <c r="H10" s="190">
        <v>-11203459.319662094</v>
      </c>
      <c r="I10" s="190">
        <v>-13931674.303227097</v>
      </c>
      <c r="J10" s="190">
        <v>-10226666.474534094</v>
      </c>
      <c r="K10" s="194">
        <v>-5022166.1646935418</v>
      </c>
      <c r="L10" s="195">
        <v>-12058035.404584751</v>
      </c>
      <c r="M10" s="195">
        <v>-3321075</v>
      </c>
      <c r="N10" s="186">
        <v>-2530748.5462894738</v>
      </c>
      <c r="O10" s="186">
        <v>1210053.7207140997</v>
      </c>
      <c r="P10" s="186">
        <v>4288562.148043856</v>
      </c>
      <c r="Q10" s="186">
        <v>9366523</v>
      </c>
      <c r="R10" s="186">
        <v>4820049.5850504823</v>
      </c>
      <c r="S10" s="186">
        <v>-4249569</v>
      </c>
      <c r="T10" s="186">
        <v>-12929107</v>
      </c>
      <c r="U10" s="186">
        <v>-23947851</v>
      </c>
      <c r="V10" s="186">
        <v>-34292027</v>
      </c>
      <c r="W10" s="186">
        <v>-48420163</v>
      </c>
      <c r="X10" s="186">
        <v>-67313438</v>
      </c>
      <c r="Y10" s="477">
        <v>-79989302</v>
      </c>
      <c r="Z10" s="136"/>
      <c r="AA10" s="249">
        <f t="shared" si="0"/>
        <v>-12929107</v>
      </c>
      <c r="AB10" s="250">
        <f t="shared" si="8"/>
        <v>2.0424513638912556</v>
      </c>
      <c r="AC10" s="249">
        <f t="shared" si="1"/>
        <v>-23947851</v>
      </c>
      <c r="AD10" s="250">
        <f t="shared" si="9"/>
        <v>0.85224323690723569</v>
      </c>
      <c r="AE10" s="249">
        <f t="shared" si="2"/>
        <v>-34292027</v>
      </c>
      <c r="AF10" s="250">
        <f t="shared" si="10"/>
        <v>0.43194589777596337</v>
      </c>
      <c r="AG10" s="249">
        <f t="shared" si="3"/>
        <v>-48420163</v>
      </c>
      <c r="AH10" s="250">
        <f t="shared" si="4"/>
        <v>0.41199477651175309</v>
      </c>
      <c r="AI10" s="249">
        <f t="shared" si="11"/>
        <v>-67313438</v>
      </c>
      <c r="AJ10" s="250">
        <f t="shared" si="5"/>
        <v>0.3901943700602577</v>
      </c>
      <c r="AK10" s="249">
        <f t="shared" si="6"/>
        <v>-79989302</v>
      </c>
      <c r="AL10" s="250">
        <f t="shared" si="7"/>
        <v>0.18831104719387537</v>
      </c>
      <c r="AM10" s="283">
        <v>-86000000</v>
      </c>
      <c r="AN10" s="250">
        <f t="shared" si="7"/>
        <v>7.5143773601124897E-2</v>
      </c>
      <c r="AO10" s="283"/>
      <c r="AP10" s="250">
        <f t="shared" si="7"/>
        <v>-1</v>
      </c>
    </row>
    <row r="11" spans="1:42" x14ac:dyDescent="0.45">
      <c r="A11" s="180" t="s">
        <v>121</v>
      </c>
      <c r="B11" s="188">
        <v>28208584.927872442</v>
      </c>
      <c r="C11" s="189">
        <v>26132012.351010144</v>
      </c>
      <c r="D11" s="189">
        <v>29485003.022532873</v>
      </c>
      <c r="E11" s="189">
        <v>24834826.455596145</v>
      </c>
      <c r="F11" s="190">
        <v>25741513.092645377</v>
      </c>
      <c r="G11" s="190">
        <v>25852602.036478151</v>
      </c>
      <c r="H11" s="190">
        <v>26337366.961068541</v>
      </c>
      <c r="I11" s="190">
        <v>26650411.978414282</v>
      </c>
      <c r="J11" s="190">
        <v>26871085.235271472</v>
      </c>
      <c r="K11" s="194">
        <v>27661817.281391807</v>
      </c>
      <c r="L11" s="195">
        <v>24506090.063552301</v>
      </c>
      <c r="M11" s="195">
        <v>23720172</v>
      </c>
      <c r="N11" s="186">
        <v>23751783.301161017</v>
      </c>
      <c r="O11" s="186">
        <v>24653987.079293795</v>
      </c>
      <c r="P11" s="186">
        <v>26353038.483481664</v>
      </c>
      <c r="Q11" s="186">
        <v>28247668</v>
      </c>
      <c r="R11" s="186">
        <v>31729958.780711479</v>
      </c>
      <c r="S11" s="186">
        <v>30300878</v>
      </c>
      <c r="T11" s="186">
        <v>29611958</v>
      </c>
      <c r="U11" s="186">
        <v>29221427</v>
      </c>
      <c r="V11" s="186">
        <v>29030371</v>
      </c>
      <c r="W11" s="186">
        <v>25882443</v>
      </c>
      <c r="X11" s="186">
        <v>21465798</v>
      </c>
      <c r="Y11" s="477">
        <v>21253590</v>
      </c>
      <c r="Z11" s="136"/>
      <c r="AA11" s="249">
        <f t="shared" si="0"/>
        <v>29611958</v>
      </c>
      <c r="AB11" s="250">
        <f t="shared" si="8"/>
        <v>-2.2735974845349394E-2</v>
      </c>
      <c r="AC11" s="249">
        <f t="shared" si="1"/>
        <v>29221427</v>
      </c>
      <c r="AD11" s="250">
        <f t="shared" si="9"/>
        <v>-1.3188286975146957E-2</v>
      </c>
      <c r="AE11" s="249">
        <f t="shared" si="2"/>
        <v>29030371</v>
      </c>
      <c r="AF11" s="250">
        <f t="shared" si="10"/>
        <v>-6.5382159468119205E-3</v>
      </c>
      <c r="AG11" s="249">
        <f t="shared" si="3"/>
        <v>25882443</v>
      </c>
      <c r="AH11" s="250">
        <f t="shared" si="4"/>
        <v>-0.10843567930978215</v>
      </c>
      <c r="AI11" s="249">
        <f t="shared" si="11"/>
        <v>21465798</v>
      </c>
      <c r="AJ11" s="250">
        <f t="shared" si="5"/>
        <v>-0.17064250851436247</v>
      </c>
      <c r="AK11" s="249">
        <f t="shared" si="6"/>
        <v>21253590</v>
      </c>
      <c r="AL11" s="250">
        <f t="shared" si="7"/>
        <v>-9.8858658783614883E-3</v>
      </c>
      <c r="AM11" s="283">
        <v>19000000</v>
      </c>
      <c r="AN11" s="250">
        <f t="shared" si="7"/>
        <v>-0.10603338071356416</v>
      </c>
      <c r="AO11" s="283"/>
      <c r="AP11" s="250">
        <f t="shared" si="7"/>
        <v>-1</v>
      </c>
    </row>
    <row r="12" spans="1:42" x14ac:dyDescent="0.45">
      <c r="A12" s="180" t="s">
        <v>122</v>
      </c>
      <c r="B12" s="188">
        <v>-52175338.233136162</v>
      </c>
      <c r="C12" s="189">
        <v>-54660638.093572244</v>
      </c>
      <c r="D12" s="189">
        <v>-55542276.633342579</v>
      </c>
      <c r="E12" s="189">
        <v>-57849736.570833869</v>
      </c>
      <c r="F12" s="190">
        <v>-58958630.574954979</v>
      </c>
      <c r="G12" s="190">
        <v>-61528733.776051193</v>
      </c>
      <c r="H12" s="190">
        <v>-61707358.577000715</v>
      </c>
      <c r="I12" s="190">
        <v>-65331983.702182911</v>
      </c>
      <c r="J12" s="190">
        <v>-66284583.014980875</v>
      </c>
      <c r="K12" s="194">
        <v>-68297845.148864269</v>
      </c>
      <c r="L12" s="195">
        <v>-71893042.400071815</v>
      </c>
      <c r="M12" s="195">
        <v>-67344980</v>
      </c>
      <c r="N12" s="186">
        <v>-72208134.434746727</v>
      </c>
      <c r="O12" s="186">
        <v>-73994231.224308491</v>
      </c>
      <c r="P12" s="186">
        <v>-67960927.932368189</v>
      </c>
      <c r="Q12" s="186">
        <v>-66365990</v>
      </c>
      <c r="R12" s="186">
        <v>-71526807.107830435</v>
      </c>
      <c r="S12" s="186">
        <v>-73735918</v>
      </c>
      <c r="T12" s="186">
        <v>-73612049</v>
      </c>
      <c r="U12" s="186">
        <v>-74147832</v>
      </c>
      <c r="V12" s="186">
        <v>-76052621</v>
      </c>
      <c r="W12" s="186">
        <v>-69271615</v>
      </c>
      <c r="X12" s="186">
        <v>-69933063</v>
      </c>
      <c r="Y12" s="477">
        <v>-79571916</v>
      </c>
      <c r="Z12" s="136"/>
      <c r="AA12" s="249">
        <f t="shared" si="0"/>
        <v>-73612049</v>
      </c>
      <c r="AB12" s="250">
        <f t="shared" si="8"/>
        <v>-1.6799004251903948E-3</v>
      </c>
      <c r="AC12" s="249">
        <f t="shared" si="1"/>
        <v>-74147832</v>
      </c>
      <c r="AD12" s="250">
        <f t="shared" si="9"/>
        <v>7.2784687735019116E-3</v>
      </c>
      <c r="AE12" s="249">
        <f t="shared" si="2"/>
        <v>-76052621</v>
      </c>
      <c r="AF12" s="250">
        <f t="shared" si="10"/>
        <v>2.5689072068890706E-2</v>
      </c>
      <c r="AG12" s="249">
        <f t="shared" si="3"/>
        <v>-69271615</v>
      </c>
      <c r="AH12" s="250">
        <f t="shared" si="4"/>
        <v>-8.9162029011465638E-2</v>
      </c>
      <c r="AI12" s="249">
        <f t="shared" si="11"/>
        <v>-69933063</v>
      </c>
      <c r="AJ12" s="250">
        <f t="shared" si="5"/>
        <v>9.5486152589339124E-3</v>
      </c>
      <c r="AK12" s="249">
        <f t="shared" si="6"/>
        <v>-79571916</v>
      </c>
      <c r="AL12" s="250">
        <f t="shared" si="7"/>
        <v>0.1378296986648504</v>
      </c>
      <c r="AM12" s="283">
        <v>-82000000</v>
      </c>
      <c r="AN12" s="250">
        <f t="shared" si="7"/>
        <v>3.0514333725481846E-2</v>
      </c>
      <c r="AO12" s="283">
        <v>-82000000</v>
      </c>
      <c r="AP12" s="250">
        <f t="shared" si="7"/>
        <v>0</v>
      </c>
    </row>
    <row r="13" spans="1:42" x14ac:dyDescent="0.45">
      <c r="A13" s="180" t="s">
        <v>19</v>
      </c>
      <c r="B13" s="188">
        <v>119451594.9696185</v>
      </c>
      <c r="C13" s="189">
        <v>106304901.41845095</v>
      </c>
      <c r="D13" s="189">
        <v>103345249.14150965</v>
      </c>
      <c r="E13" s="189">
        <v>82069570.813723385</v>
      </c>
      <c r="F13" s="190">
        <v>80292345.173951164</v>
      </c>
      <c r="G13" s="190">
        <v>84238978.118289798</v>
      </c>
      <c r="H13" s="190">
        <v>82427043.527803183</v>
      </c>
      <c r="I13" s="190">
        <v>77146286.007937998</v>
      </c>
      <c r="J13" s="190">
        <v>75946093.154076219</v>
      </c>
      <c r="K13" s="194">
        <v>79947282.734565347</v>
      </c>
      <c r="L13" s="195">
        <v>70938072.194417864</v>
      </c>
      <c r="M13" s="195">
        <v>71049455</v>
      </c>
      <c r="N13" s="186">
        <v>78233032.415699318</v>
      </c>
      <c r="O13" s="186">
        <v>84259975.063992515</v>
      </c>
      <c r="P13" s="186">
        <v>87249114.072737604</v>
      </c>
      <c r="Q13" s="186">
        <v>91496746</v>
      </c>
      <c r="R13" s="186">
        <v>90287277.563040569</v>
      </c>
      <c r="S13" s="186">
        <v>78930776</v>
      </c>
      <c r="T13" s="186">
        <v>67984679</v>
      </c>
      <c r="U13" s="186">
        <v>57642124</v>
      </c>
      <c r="V13" s="186">
        <v>63656796</v>
      </c>
      <c r="W13" s="186">
        <v>41519584</v>
      </c>
      <c r="X13" s="186">
        <v>21655248</v>
      </c>
      <c r="Y13" s="477">
        <v>21668609</v>
      </c>
      <c r="Z13" s="136"/>
      <c r="AA13" s="249">
        <f t="shared" si="0"/>
        <v>67984679</v>
      </c>
      <c r="AB13" s="250">
        <f t="shared" si="8"/>
        <v>-0.13867970840676902</v>
      </c>
      <c r="AC13" s="249">
        <f t="shared" si="1"/>
        <v>57642124</v>
      </c>
      <c r="AD13" s="250">
        <f t="shared" si="9"/>
        <v>-0.15213067344187947</v>
      </c>
      <c r="AE13" s="249">
        <f t="shared" si="2"/>
        <v>63656796</v>
      </c>
      <c r="AF13" s="250">
        <f t="shared" si="10"/>
        <v>0.10434507930346215</v>
      </c>
      <c r="AG13" s="249">
        <f t="shared" si="3"/>
        <v>41519584</v>
      </c>
      <c r="AH13" s="250">
        <f t="shared" si="4"/>
        <v>-0.34775881588510993</v>
      </c>
      <c r="AI13" s="249">
        <f t="shared" si="11"/>
        <v>21655248</v>
      </c>
      <c r="AJ13" s="250">
        <f t="shared" si="5"/>
        <v>-0.47843292456880104</v>
      </c>
      <c r="AK13" s="249">
        <f t="shared" si="6"/>
        <v>21668609</v>
      </c>
      <c r="AL13" s="250">
        <f t="shared" si="7"/>
        <v>6.1698669994458832E-4</v>
      </c>
      <c r="AM13" s="283">
        <v>12000000</v>
      </c>
      <c r="AN13" s="250">
        <f t="shared" si="7"/>
        <v>-0.44620349188081243</v>
      </c>
      <c r="AO13" s="283">
        <v>-2000000</v>
      </c>
      <c r="AP13" s="250">
        <f t="shared" si="7"/>
        <v>-1.1666666666666667</v>
      </c>
    </row>
    <row r="14" spans="1:42" x14ac:dyDescent="0.45">
      <c r="A14" s="180" t="s">
        <v>123</v>
      </c>
      <c r="B14" s="188">
        <v>-5130217.7646466605</v>
      </c>
      <c r="C14" s="189">
        <v>-4025247.3263068665</v>
      </c>
      <c r="D14" s="189">
        <v>-3784896.1228282321</v>
      </c>
      <c r="E14" s="189">
        <v>-7042636.2888521738</v>
      </c>
      <c r="F14" s="190">
        <v>-5968478.10416108</v>
      </c>
      <c r="G14" s="190">
        <v>-5512367.697152501</v>
      </c>
      <c r="H14" s="190">
        <v>-6422226.117888011</v>
      </c>
      <c r="I14" s="190">
        <v>-5024689.9361167904</v>
      </c>
      <c r="J14" s="190">
        <v>-6614656.3792217784</v>
      </c>
      <c r="K14" s="194">
        <v>-12677380.527500045</v>
      </c>
      <c r="L14" s="195">
        <v>-17131001.365732647</v>
      </c>
      <c r="M14" s="195">
        <v>-18445991</v>
      </c>
      <c r="N14" s="186">
        <v>-15789106.854452597</v>
      </c>
      <c r="O14" s="186">
        <v>-21772309.76611685</v>
      </c>
      <c r="P14" s="186">
        <v>-18641967.113091916</v>
      </c>
      <c r="Q14" s="186">
        <v>-27045030</v>
      </c>
      <c r="R14" s="186">
        <v>-28372708.406647868</v>
      </c>
      <c r="S14" s="186">
        <v>-29907016</v>
      </c>
      <c r="T14" s="186">
        <v>-28672613</v>
      </c>
      <c r="U14" s="186">
        <v>-35925115</v>
      </c>
      <c r="V14" s="186">
        <v>-37052383</v>
      </c>
      <c r="W14" s="186">
        <v>-30870874</v>
      </c>
      <c r="X14" s="186">
        <v>-30955432</v>
      </c>
      <c r="Y14" s="477">
        <v>-32595820</v>
      </c>
      <c r="Z14" s="136"/>
      <c r="AA14" s="249">
        <f t="shared" si="0"/>
        <v>-28672613</v>
      </c>
      <c r="AB14" s="250">
        <f t="shared" si="8"/>
        <v>-4.1274696211751838E-2</v>
      </c>
      <c r="AC14" s="249">
        <f t="shared" si="1"/>
        <v>-35925115</v>
      </c>
      <c r="AD14" s="250">
        <f t="shared" si="9"/>
        <v>0.25294178804003664</v>
      </c>
      <c r="AE14" s="249">
        <f t="shared" si="2"/>
        <v>-37052383</v>
      </c>
      <c r="AF14" s="250">
        <f t="shared" si="10"/>
        <v>3.1378271162110449E-2</v>
      </c>
      <c r="AG14" s="249">
        <f t="shared" si="3"/>
        <v>-30870874</v>
      </c>
      <c r="AH14" s="250">
        <f t="shared" si="4"/>
        <v>-0.1668316178206406</v>
      </c>
      <c r="AI14" s="249">
        <f t="shared" si="11"/>
        <v>-30955432</v>
      </c>
      <c r="AJ14" s="250">
        <f t="shared" si="5"/>
        <v>2.7390866873415742E-3</v>
      </c>
      <c r="AK14" s="249">
        <f t="shared" si="6"/>
        <v>-32595820</v>
      </c>
      <c r="AL14" s="250">
        <f t="shared" si="7"/>
        <v>5.299192723267443E-2</v>
      </c>
      <c r="AM14" s="283">
        <v>-40000000</v>
      </c>
      <c r="AN14" s="250">
        <f t="shared" si="7"/>
        <v>0.22715121141299721</v>
      </c>
      <c r="AO14" s="283">
        <v>-50000000</v>
      </c>
      <c r="AP14" s="250">
        <f t="shared" si="7"/>
        <v>0.25</v>
      </c>
    </row>
    <row r="15" spans="1:42" x14ac:dyDescent="0.45">
      <c r="A15" s="180" t="s">
        <v>21</v>
      </c>
      <c r="B15" s="188">
        <v>5543154.4046071684</v>
      </c>
      <c r="C15" s="189">
        <v>4995348.5167721324</v>
      </c>
      <c r="D15" s="189">
        <v>5013036.9862881713</v>
      </c>
      <c r="E15" s="189">
        <v>3382556.0788004245</v>
      </c>
      <c r="F15" s="190">
        <v>3605488.4236641973</v>
      </c>
      <c r="G15" s="190">
        <v>3181586.1423742054</v>
      </c>
      <c r="H15" s="190">
        <v>2665410.4079800826</v>
      </c>
      <c r="I15" s="190">
        <v>5757219.207864223</v>
      </c>
      <c r="J15" s="190">
        <v>3201572.1898714919</v>
      </c>
      <c r="K15" s="194">
        <v>3047104.268033972</v>
      </c>
      <c r="L15" s="195">
        <v>1881296.2626993088</v>
      </c>
      <c r="M15" s="195">
        <v>1956418</v>
      </c>
      <c r="N15" s="186">
        <v>1655420.2197973537</v>
      </c>
      <c r="O15" s="186">
        <v>1383512.5035226103</v>
      </c>
      <c r="P15" s="186">
        <v>1213114.4444083357</v>
      </c>
      <c r="Q15" s="186">
        <v>415939</v>
      </c>
      <c r="R15" s="186">
        <v>-423077.14570744382</v>
      </c>
      <c r="S15" s="186">
        <v>-2305505</v>
      </c>
      <c r="T15" s="186">
        <v>-4321559</v>
      </c>
      <c r="U15" s="186">
        <v>-6901395</v>
      </c>
      <c r="V15" s="186">
        <v>-8326251</v>
      </c>
      <c r="W15" s="186">
        <v>-11483520</v>
      </c>
      <c r="X15" s="186">
        <v>-14609761</v>
      </c>
      <c r="Y15" s="477">
        <v>0</v>
      </c>
      <c r="Z15" s="136"/>
      <c r="AA15" s="249">
        <f t="shared" si="0"/>
        <v>-4321559</v>
      </c>
      <c r="AB15" s="250">
        <f t="shared" si="8"/>
        <v>0.87445223497671876</v>
      </c>
      <c r="AC15" s="249">
        <f t="shared" si="1"/>
        <v>-6901395</v>
      </c>
      <c r="AD15" s="250">
        <f t="shared" si="9"/>
        <v>0.5969688253706591</v>
      </c>
      <c r="AE15" s="249">
        <f t="shared" si="2"/>
        <v>-8326251</v>
      </c>
      <c r="AF15" s="250">
        <f t="shared" si="10"/>
        <v>0.2064591289152411</v>
      </c>
      <c r="AG15" s="249">
        <f t="shared" si="3"/>
        <v>-11483520</v>
      </c>
      <c r="AH15" s="250">
        <f t="shared" si="4"/>
        <v>0.37919454986403855</v>
      </c>
      <c r="AI15" s="249">
        <f t="shared" si="11"/>
        <v>-14609761</v>
      </c>
      <c r="AJ15" s="250">
        <f t="shared" si="5"/>
        <v>0.27223717118096191</v>
      </c>
      <c r="AK15" s="249">
        <f t="shared" si="6"/>
        <v>0</v>
      </c>
      <c r="AL15" s="250">
        <f t="shared" si="7"/>
        <v>-1</v>
      </c>
      <c r="AM15" s="283">
        <v>0</v>
      </c>
      <c r="AN15" s="250" t="e">
        <f t="shared" si="7"/>
        <v>#DIV/0!</v>
      </c>
      <c r="AO15" s="283">
        <v>0</v>
      </c>
      <c r="AP15" s="250" t="e">
        <f t="shared" si="7"/>
        <v>#DIV/0!</v>
      </c>
    </row>
    <row r="16" spans="1:42" x14ac:dyDescent="0.45">
      <c r="A16" s="180" t="s">
        <v>22</v>
      </c>
      <c r="B16" s="188"/>
      <c r="C16" s="189"/>
      <c r="D16" s="189"/>
      <c r="E16" s="189"/>
      <c r="F16" s="190"/>
      <c r="G16" s="190"/>
      <c r="H16" s="190"/>
      <c r="I16" s="190"/>
      <c r="J16" s="190"/>
      <c r="K16" s="194"/>
      <c r="L16" s="195"/>
      <c r="M16" s="195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36"/>
      <c r="AA16" s="249"/>
      <c r="AB16" s="250"/>
      <c r="AC16" s="249"/>
      <c r="AD16" s="250"/>
      <c r="AE16" s="249"/>
      <c r="AF16" s="250"/>
      <c r="AG16" s="249"/>
      <c r="AH16" s="250"/>
      <c r="AI16" s="249"/>
      <c r="AJ16" s="250"/>
      <c r="AK16" s="249"/>
      <c r="AL16" s="250"/>
      <c r="AM16" s="249"/>
      <c r="AN16" s="250"/>
      <c r="AO16" s="249"/>
      <c r="AP16" s="250"/>
    </row>
    <row r="17" spans="1:42" x14ac:dyDescent="0.45">
      <c r="A17" s="180" t="s">
        <v>23</v>
      </c>
      <c r="B17" s="188"/>
      <c r="C17" s="189"/>
      <c r="D17" s="189"/>
      <c r="E17" s="189"/>
      <c r="F17" s="190"/>
      <c r="G17" s="190"/>
      <c r="H17" s="190"/>
      <c r="I17" s="190"/>
      <c r="J17" s="190"/>
      <c r="K17" s="194"/>
      <c r="L17" s="195"/>
      <c r="M17" s="195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36"/>
      <c r="AA17" s="252"/>
      <c r="AB17" s="250"/>
      <c r="AC17" s="252"/>
      <c r="AD17" s="250"/>
      <c r="AE17" s="252"/>
      <c r="AF17" s="250"/>
      <c r="AG17" s="252"/>
      <c r="AH17" s="250"/>
      <c r="AI17" s="252"/>
      <c r="AJ17" s="250"/>
      <c r="AK17" s="252"/>
      <c r="AL17" s="250"/>
      <c r="AM17" s="252"/>
      <c r="AN17" s="250"/>
      <c r="AO17" s="252"/>
      <c r="AP17" s="250"/>
    </row>
    <row r="18" spans="1:42" x14ac:dyDescent="0.45">
      <c r="A18" s="200" t="s">
        <v>24</v>
      </c>
      <c r="B18" s="201">
        <v>4823397291.1199837</v>
      </c>
      <c r="C18" s="202">
        <v>4958763157.4938393</v>
      </c>
      <c r="D18" s="202">
        <v>5134965164.716423</v>
      </c>
      <c r="E18" s="202">
        <v>5426551509.8945389</v>
      </c>
      <c r="F18" s="203">
        <v>5362983556.0489197</v>
      </c>
      <c r="G18" s="203">
        <v>5319838089.8130569</v>
      </c>
      <c r="H18" s="203">
        <v>5132284398.6839142</v>
      </c>
      <c r="I18" s="203">
        <v>5028531641.2571869</v>
      </c>
      <c r="J18" s="203">
        <v>4916238005.6885834</v>
      </c>
      <c r="K18" s="204">
        <f t="shared" ref="K18:P18" si="12">SUM(K3:K17)</f>
        <v>4821499585.9731216</v>
      </c>
      <c r="L18" s="204">
        <f t="shared" si="12"/>
        <v>4575715338.2992811</v>
      </c>
      <c r="M18" s="204">
        <f t="shared" si="12"/>
        <v>4365731082</v>
      </c>
      <c r="N18" s="204">
        <f t="shared" si="12"/>
        <v>4434672548.542079</v>
      </c>
      <c r="O18" s="204">
        <f t="shared" si="12"/>
        <v>4390775744.0011473</v>
      </c>
      <c r="P18" s="204">
        <f t="shared" si="12"/>
        <v>4373045222.6245584</v>
      </c>
      <c r="Q18" s="204">
        <f>SUM(Q3:Q17)</f>
        <v>4420758925</v>
      </c>
      <c r="R18" s="204">
        <f>SUM(R3:R17)</f>
        <v>3932477513.000001</v>
      </c>
      <c r="S18" s="204">
        <f t="shared" ref="S18:T18" si="13">SUM(S3:S17)</f>
        <v>3524328367</v>
      </c>
      <c r="T18" s="204">
        <f t="shared" si="13"/>
        <v>3223782107</v>
      </c>
      <c r="U18" s="204">
        <f t="shared" ref="U18:V18" si="14">SUM(U3:U17)</f>
        <v>2808296676</v>
      </c>
      <c r="V18" s="204">
        <f t="shared" si="14"/>
        <v>2452529692</v>
      </c>
      <c r="W18" s="204">
        <f t="shared" ref="W18" si="15">SUM(W3:W17)</f>
        <v>2156402410</v>
      </c>
      <c r="X18" s="204">
        <f>SUM(X3:X17)</f>
        <v>1656077731</v>
      </c>
      <c r="Y18" s="204">
        <f>SUM(Y3:Y17)</f>
        <v>1272305232</v>
      </c>
      <c r="Z18" s="136"/>
      <c r="AA18" s="253">
        <f>SUM(AA3:AA17)</f>
        <v>3223782107</v>
      </c>
      <c r="AB18" s="250">
        <f t="shared" si="8"/>
        <v>-8.5277598652316544E-2</v>
      </c>
      <c r="AC18" s="253">
        <f>SUM(AC3:AC17)</f>
        <v>2808296676</v>
      </c>
      <c r="AD18" s="250">
        <f t="shared" si="9"/>
        <v>-0.12888136270060879</v>
      </c>
      <c r="AE18" s="253">
        <f>SUM(AE3:AE17)</f>
        <v>2452529692</v>
      </c>
      <c r="AF18" s="250">
        <f t="shared" si="10"/>
        <v>-0.12668425919541271</v>
      </c>
      <c r="AG18" s="253">
        <f>SUM(AG3:AG16)</f>
        <v>2156402410</v>
      </c>
      <c r="AH18" s="250">
        <f>AG18/AE18-1</f>
        <v>-0.1207436072908511</v>
      </c>
      <c r="AI18" s="253">
        <f>SUM(AI3:AI16)</f>
        <v>1656077731</v>
      </c>
      <c r="AJ18" s="362">
        <f>AI18/AG18-1</f>
        <v>-0.23201823401783339</v>
      </c>
      <c r="AK18" s="253">
        <f>SUM(AK3:AK16)</f>
        <v>1272305232</v>
      </c>
      <c r="AL18" s="362">
        <f>AK18/AI18-1</f>
        <v>-0.231735800691109</v>
      </c>
      <c r="AM18" s="285">
        <f>SUM(AM3:AM16)</f>
        <v>881000000</v>
      </c>
      <c r="AN18" s="250">
        <f>AM18/AK18-1</f>
        <v>-0.30755609751355639</v>
      </c>
      <c r="AO18" s="285">
        <f>SUM(AO3:AO16)</f>
        <v>576000000</v>
      </c>
      <c r="AP18" s="250">
        <f>AO18/AM18-1</f>
        <v>-0.34619750283768447</v>
      </c>
    </row>
    <row r="19" spans="1:42" s="24" customFormat="1" ht="16.5" x14ac:dyDescent="0.5">
      <c r="A19" s="205" t="s">
        <v>25</v>
      </c>
      <c r="B19" s="206">
        <v>-4047585071.6360359</v>
      </c>
      <c r="C19" s="207">
        <v>-4134512816.0203333</v>
      </c>
      <c r="D19" s="207">
        <v>-4228606593.4303503</v>
      </c>
      <c r="E19" s="207">
        <v>-4257378185.5956631</v>
      </c>
      <c r="F19" s="208">
        <v>-4276624302.1397948</v>
      </c>
      <c r="G19" s="208">
        <v>-4273968102.1732864</v>
      </c>
      <c r="H19" s="208">
        <v>-4235634818.6205616</v>
      </c>
      <c r="I19" s="208">
        <v>-4185322872.52742</v>
      </c>
      <c r="J19" s="208">
        <v>-4108617574.8104672</v>
      </c>
      <c r="K19" s="209">
        <v>-3998950607.1369648</v>
      </c>
      <c r="L19" s="210">
        <v>-3908297890.1973386</v>
      </c>
      <c r="M19" s="210">
        <v>-3783156056</v>
      </c>
      <c r="N19" s="211">
        <v>-3723321495.6660671</v>
      </c>
      <c r="O19" s="211">
        <v>-3623241166.0936337</v>
      </c>
      <c r="P19" s="211">
        <v>-3486504285.2198143</v>
      </c>
      <c r="Q19" s="211">
        <v>-3346396139</v>
      </c>
      <c r="R19" s="211">
        <v>-3178683134.616437</v>
      </c>
      <c r="S19" s="211">
        <v>-3062478389</v>
      </c>
      <c r="T19" s="211">
        <v>-2961193745</v>
      </c>
      <c r="U19" s="211">
        <v>-2857653153</v>
      </c>
      <c r="V19" s="211">
        <v>-2756962754</v>
      </c>
      <c r="W19" s="211">
        <v>-2668168252</v>
      </c>
      <c r="X19" s="476">
        <v>-2637253354</v>
      </c>
      <c r="Y19" s="476">
        <v>-2608184086</v>
      </c>
      <c r="Z19" s="136"/>
      <c r="AA19" s="254">
        <f>T19</f>
        <v>-2961193745</v>
      </c>
      <c r="AB19" s="250">
        <f t="shared" si="8"/>
        <v>-3.3072770199391588E-2</v>
      </c>
      <c r="AC19" s="254">
        <f>U19</f>
        <v>-2857653153</v>
      </c>
      <c r="AD19" s="250">
        <f t="shared" si="9"/>
        <v>-3.4965828282877198E-2</v>
      </c>
      <c r="AE19" s="254">
        <f>V19</f>
        <v>-2756962754</v>
      </c>
      <c r="AF19" s="250">
        <f>AE19/AC19-1</f>
        <v>-3.5235346492031083E-2</v>
      </c>
      <c r="AG19" s="392">
        <f>W19</f>
        <v>-2668168252</v>
      </c>
      <c r="AH19" s="391">
        <f>AG19/AE19-1</f>
        <v>-3.2207363654503718E-2</v>
      </c>
      <c r="AI19" s="392">
        <f>X19</f>
        <v>-2637253354</v>
      </c>
      <c r="AJ19" s="391">
        <f>AI19/AG19-1</f>
        <v>-1.1586562420427104E-2</v>
      </c>
      <c r="AK19" s="392">
        <f>Y19</f>
        <v>-2608184086</v>
      </c>
      <c r="AL19" s="391">
        <f>AK19/AI19-1</f>
        <v>-1.1022554187260725E-2</v>
      </c>
      <c r="AM19" s="286">
        <v>-2650000000</v>
      </c>
      <c r="AN19" s="250">
        <f>AM19/AK19-1</f>
        <v>1.6032577694364392E-2</v>
      </c>
      <c r="AO19" s="286">
        <v>-2645000000</v>
      </c>
      <c r="AP19" s="250">
        <f>AO19/AM19-1</f>
        <v>-1.8867924528301883E-3</v>
      </c>
    </row>
    <row r="20" spans="1:42" x14ac:dyDescent="0.45">
      <c r="A20" s="180" t="s">
        <v>26</v>
      </c>
      <c r="B20" s="188"/>
      <c r="C20" s="189"/>
      <c r="D20" s="189"/>
      <c r="E20" s="189"/>
      <c r="F20" s="190"/>
      <c r="G20" s="190"/>
      <c r="H20" s="190"/>
      <c r="I20" s="190"/>
      <c r="J20" s="190"/>
      <c r="K20" s="194"/>
      <c r="L20" s="195"/>
      <c r="M20" s="195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36"/>
      <c r="AA20" s="249"/>
      <c r="AB20" s="250"/>
      <c r="AC20" s="249"/>
      <c r="AD20" s="250"/>
      <c r="AE20" s="249"/>
      <c r="AF20" s="250"/>
      <c r="AG20" s="249"/>
      <c r="AH20" s="250"/>
      <c r="AI20" s="249"/>
      <c r="AJ20" s="250"/>
      <c r="AK20" s="249"/>
      <c r="AL20" s="250"/>
      <c r="AM20" s="283"/>
      <c r="AN20" s="250"/>
      <c r="AO20" s="283"/>
      <c r="AP20" s="250"/>
    </row>
    <row r="21" spans="1:42" x14ac:dyDescent="0.45">
      <c r="A21" s="180" t="s">
        <v>100</v>
      </c>
      <c r="B21" s="188">
        <v>-745455224.31024122</v>
      </c>
      <c r="C21" s="189">
        <v>-772654727.47826457</v>
      </c>
      <c r="D21" s="189">
        <v>-834864310.54237318</v>
      </c>
      <c r="E21" s="189">
        <v>-915993445.8580184</v>
      </c>
      <c r="F21" s="190">
        <v>-897925772.12219739</v>
      </c>
      <c r="G21" s="190">
        <v>-885547423.55952287</v>
      </c>
      <c r="H21" s="190">
        <v>-935743171.72033596</v>
      </c>
      <c r="I21" s="190">
        <v>-919364515.69852591</v>
      </c>
      <c r="J21" s="190">
        <v>-892663198.70834851</v>
      </c>
      <c r="K21" s="194">
        <v>-932736005.36877275</v>
      </c>
      <c r="L21" s="195">
        <v>-910524539.11882448</v>
      </c>
      <c r="M21" s="195">
        <v>-879776586</v>
      </c>
      <c r="N21" s="186">
        <v>-971984072.6899488</v>
      </c>
      <c r="O21" s="186">
        <v>-1039833657.9148853</v>
      </c>
      <c r="P21" s="186">
        <v>-1123067502.30509</v>
      </c>
      <c r="Q21" s="186">
        <v>-1223046459</v>
      </c>
      <c r="R21" s="186">
        <v>-1131003394.8393908</v>
      </c>
      <c r="S21" s="186">
        <v>-1450827625</v>
      </c>
      <c r="T21" s="186">
        <v>-1202212774</v>
      </c>
      <c r="U21" s="186">
        <v>-826432132</v>
      </c>
      <c r="V21" s="186">
        <v>-467721470</v>
      </c>
      <c r="W21" s="186">
        <v>-112254570</v>
      </c>
      <c r="X21" s="186">
        <v>433867017</v>
      </c>
      <c r="Y21" s="477">
        <v>845636432</v>
      </c>
      <c r="Z21" s="136"/>
      <c r="AA21" s="249">
        <f>T21</f>
        <v>-1202212774</v>
      </c>
      <c r="AB21" s="250">
        <f t="shared" si="8"/>
        <v>-0.1713607093744165</v>
      </c>
      <c r="AC21" s="249">
        <f>U21</f>
        <v>-826432132</v>
      </c>
      <c r="AD21" s="250">
        <f t="shared" si="9"/>
        <v>-0.31257415503056363</v>
      </c>
      <c r="AE21" s="249">
        <f>V21</f>
        <v>-467721470</v>
      </c>
      <c r="AF21" s="250">
        <f t="shared" si="10"/>
        <v>-0.43404733203185764</v>
      </c>
      <c r="AG21" s="249">
        <f>W21</f>
        <v>-112254570</v>
      </c>
      <c r="AH21" s="250">
        <f>AG21/AE21-1</f>
        <v>-0.75999696999156363</v>
      </c>
      <c r="AI21" s="388">
        <f>X21</f>
        <v>433867017</v>
      </c>
      <c r="AJ21" s="250">
        <f>AI21/AG21-1</f>
        <v>-4.8650276509900667</v>
      </c>
      <c r="AK21" s="388">
        <f>Y21</f>
        <v>845636432</v>
      </c>
      <c r="AL21" s="250">
        <f>AK21/AI21-1</f>
        <v>0.94906826024067192</v>
      </c>
      <c r="AM21" s="283">
        <v>1338000000</v>
      </c>
      <c r="AN21" s="260">
        <f>AM21/AK21-1</f>
        <v>0.58224025050046557</v>
      </c>
      <c r="AO21" s="283">
        <v>1747000000</v>
      </c>
      <c r="AP21" s="260">
        <f>AO21/AM21-1</f>
        <v>0.3056801195814649</v>
      </c>
    </row>
    <row r="22" spans="1:42" x14ac:dyDescent="0.45">
      <c r="A22" s="180" t="s">
        <v>27</v>
      </c>
      <c r="B22" s="188">
        <v>399418302.13554102</v>
      </c>
      <c r="C22" s="189">
        <v>404245827.97299445</v>
      </c>
      <c r="D22" s="189">
        <v>406593466.93410134</v>
      </c>
      <c r="E22" s="189">
        <v>321352791.87512606</v>
      </c>
      <c r="F22" s="190">
        <v>370108132.98121858</v>
      </c>
      <c r="G22" s="190">
        <v>392495558.38543034</v>
      </c>
      <c r="H22" s="190">
        <v>429149886.7829411</v>
      </c>
      <c r="I22" s="190">
        <v>456288615.08225948</v>
      </c>
      <c r="J22" s="190">
        <v>463140840.34138721</v>
      </c>
      <c r="K22" s="194">
        <v>498699117.5615871</v>
      </c>
      <c r="L22" s="195">
        <v>573343611.76850891</v>
      </c>
      <c r="M22" s="195">
        <v>607498489</v>
      </c>
      <c r="N22" s="186">
        <v>624219908.1849947</v>
      </c>
      <c r="O22" s="186">
        <v>650642728.90595388</v>
      </c>
      <c r="P22" s="186">
        <v>658714905.25968111</v>
      </c>
      <c r="Q22" s="186">
        <v>646960376</v>
      </c>
      <c r="R22" s="186">
        <v>757076195.2115674</v>
      </c>
      <c r="S22" s="186">
        <v>902608841</v>
      </c>
      <c r="T22" s="186">
        <v>848763043</v>
      </c>
      <c r="U22" s="186">
        <v>777544219</v>
      </c>
      <c r="V22" s="186">
        <v>671247404</v>
      </c>
      <c r="W22" s="186">
        <v>528173246</v>
      </c>
      <c r="X22" s="186">
        <v>447951697</v>
      </c>
      <c r="Y22" s="477">
        <v>386517913</v>
      </c>
      <c r="Z22" s="136"/>
      <c r="AA22" s="249">
        <f t="shared" ref="AA22:AA24" si="16">T22</f>
        <v>848763043</v>
      </c>
      <c r="AB22" s="250">
        <f t="shared" si="8"/>
        <v>-5.965573962287396E-2</v>
      </c>
      <c r="AC22" s="249">
        <f>U22</f>
        <v>777544219</v>
      </c>
      <c r="AD22" s="250">
        <f t="shared" si="9"/>
        <v>-8.3908959735420563E-2</v>
      </c>
      <c r="AE22" s="249">
        <f>V22</f>
        <v>671247404</v>
      </c>
      <c r="AF22" s="250">
        <f t="shared" si="10"/>
        <v>-0.13670838571304456</v>
      </c>
      <c r="AG22" s="249">
        <f>W22</f>
        <v>528173246</v>
      </c>
      <c r="AH22" s="250">
        <f>AG22/AE22-1</f>
        <v>-0.21314668354382194</v>
      </c>
      <c r="AI22" s="388">
        <f>X22</f>
        <v>447951697</v>
      </c>
      <c r="AJ22" s="250">
        <f>AI22/AG22-1</f>
        <v>-0.1518849158065837</v>
      </c>
      <c r="AK22" s="388">
        <f>Y22</f>
        <v>386517913</v>
      </c>
      <c r="AL22" s="250">
        <f>AK22/AI22-1</f>
        <v>-0.1371437688738123</v>
      </c>
      <c r="AM22" s="283">
        <v>322000000</v>
      </c>
      <c r="AN22" s="250">
        <f>AM22/AK22-1</f>
        <v>-0.16692088731214894</v>
      </c>
      <c r="AO22" s="283">
        <v>209000000</v>
      </c>
      <c r="AP22" s="250">
        <f>AO22/AM22-1</f>
        <v>-0.35093167701863359</v>
      </c>
    </row>
    <row r="23" spans="1:42" x14ac:dyDescent="0.45">
      <c r="A23" s="180" t="s">
        <v>28</v>
      </c>
      <c r="B23" s="188">
        <v>47160539.211672865</v>
      </c>
      <c r="C23" s="189">
        <v>50759663.207572974</v>
      </c>
      <c r="D23" s="189">
        <v>54257427.393036529</v>
      </c>
      <c r="E23" s="189">
        <v>48811512.190628149</v>
      </c>
      <c r="F23" s="190">
        <v>52790354.123143993</v>
      </c>
      <c r="G23" s="190">
        <v>57299831.110093676</v>
      </c>
      <c r="H23" s="190">
        <v>62418602.298443861</v>
      </c>
      <c r="I23" s="190">
        <v>63406105.279678956</v>
      </c>
      <c r="J23" s="190">
        <v>64817756.038197838</v>
      </c>
      <c r="K23" s="194">
        <v>67237288.197207198</v>
      </c>
      <c r="L23" s="195">
        <v>67974094.695297688</v>
      </c>
      <c r="M23" s="195">
        <v>70510229</v>
      </c>
      <c r="N23" s="186">
        <v>71614600.584985301</v>
      </c>
      <c r="O23" s="186">
        <v>79244603.169618011</v>
      </c>
      <c r="P23" s="186">
        <v>83921610.246023625</v>
      </c>
      <c r="Q23" s="186">
        <v>84285753</v>
      </c>
      <c r="R23" s="186">
        <v>85990756.858600989</v>
      </c>
      <c r="S23" s="186">
        <v>86368806</v>
      </c>
      <c r="T23" s="186">
        <v>90861370</v>
      </c>
      <c r="U23" s="186">
        <v>98244391</v>
      </c>
      <c r="V23" s="186">
        <v>100907127</v>
      </c>
      <c r="W23" s="186">
        <v>95847167</v>
      </c>
      <c r="X23" s="186">
        <v>99356907</v>
      </c>
      <c r="Y23" s="477">
        <v>103724509</v>
      </c>
      <c r="Z23" s="136"/>
      <c r="AA23" s="249">
        <f t="shared" si="16"/>
        <v>90861370</v>
      </c>
      <c r="AB23" s="250">
        <f t="shared" si="8"/>
        <v>5.2016048479354815E-2</v>
      </c>
      <c r="AC23" s="249">
        <f>U23</f>
        <v>98244391</v>
      </c>
      <c r="AD23" s="250">
        <f t="shared" si="9"/>
        <v>8.1255884651530108E-2</v>
      </c>
      <c r="AE23" s="249">
        <f>V23</f>
        <v>100907127</v>
      </c>
      <c r="AF23" s="250">
        <f t="shared" si="10"/>
        <v>2.7103185972214838E-2</v>
      </c>
      <c r="AG23" s="249">
        <f>W23</f>
        <v>95847167</v>
      </c>
      <c r="AH23" s="250">
        <f>AG23/AE23-1</f>
        <v>-5.0144723672491454E-2</v>
      </c>
      <c r="AI23" s="249">
        <f>X23</f>
        <v>99356907</v>
      </c>
      <c r="AJ23" s="250">
        <f>AI23/AG23-1</f>
        <v>3.6618088044271468E-2</v>
      </c>
      <c r="AK23" s="249">
        <f>Y23</f>
        <v>103724509</v>
      </c>
      <c r="AL23" s="250">
        <f>AK23/AI23-1</f>
        <v>4.3958715421767325E-2</v>
      </c>
      <c r="AM23" s="283">
        <v>109000000</v>
      </c>
      <c r="AN23" s="250">
        <f>AM23/AK23-1</f>
        <v>5.0860602290245582E-2</v>
      </c>
      <c r="AO23" s="283">
        <v>113000000</v>
      </c>
      <c r="AP23" s="250">
        <f>AO23/AM23-1</f>
        <v>3.669724770642202E-2</v>
      </c>
    </row>
    <row r="24" spans="1:42" x14ac:dyDescent="0.45">
      <c r="A24" s="15" t="s">
        <v>29</v>
      </c>
      <c r="B24" s="46">
        <v>-173513405.05732867</v>
      </c>
      <c r="C24" s="17">
        <v>-176191427.76864138</v>
      </c>
      <c r="D24" s="17">
        <v>-177982156.93269747</v>
      </c>
      <c r="E24" s="17">
        <v>-176008082.73334038</v>
      </c>
      <c r="F24" s="18">
        <v>-175493794.00254822</v>
      </c>
      <c r="G24" s="18">
        <v>-175630147.96605113</v>
      </c>
      <c r="H24" s="18">
        <v>0</v>
      </c>
      <c r="I24" s="18">
        <v>0</v>
      </c>
      <c r="J24" s="18">
        <v>0</v>
      </c>
      <c r="K24" s="119">
        <v>0</v>
      </c>
      <c r="L24" s="117">
        <v>0</v>
      </c>
      <c r="M24" s="117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99">
        <v>0</v>
      </c>
      <c r="W24" s="199">
        <v>0</v>
      </c>
      <c r="X24" s="199">
        <v>0</v>
      </c>
      <c r="Y24" s="199">
        <v>0</v>
      </c>
      <c r="Z24" s="136"/>
      <c r="AA24" s="249">
        <f t="shared" si="16"/>
        <v>0</v>
      </c>
      <c r="AB24" s="250"/>
      <c r="AC24" s="252">
        <v>0</v>
      </c>
      <c r="AD24" s="250"/>
      <c r="AE24" s="252">
        <v>0</v>
      </c>
      <c r="AF24" s="250"/>
      <c r="AG24" s="252">
        <v>0</v>
      </c>
      <c r="AH24" s="250"/>
      <c r="AI24" s="252">
        <v>0</v>
      </c>
      <c r="AJ24" s="250"/>
      <c r="AK24" s="252">
        <v>1</v>
      </c>
      <c r="AL24" s="250"/>
      <c r="AM24" s="252"/>
      <c r="AN24" s="250"/>
      <c r="AO24" s="252">
        <v>0</v>
      </c>
      <c r="AP24" s="250"/>
    </row>
    <row r="25" spans="1:42" x14ac:dyDescent="0.45">
      <c r="A25" s="25" t="s">
        <v>30</v>
      </c>
      <c r="B25" s="49">
        <v>-4823397291.1199799</v>
      </c>
      <c r="C25" s="26">
        <v>-4958763157.4938335</v>
      </c>
      <c r="D25" s="26">
        <v>-5134965164.716423</v>
      </c>
      <c r="E25" s="26">
        <v>-5426551509.8945408</v>
      </c>
      <c r="F25" s="27">
        <v>-5362983556.0489178</v>
      </c>
      <c r="G25" s="27">
        <v>-5319838089.8130579</v>
      </c>
      <c r="H25" s="27">
        <v>-5132284398.6839123</v>
      </c>
      <c r="I25" s="27">
        <v>-5028531641.2571888</v>
      </c>
      <c r="J25" s="27">
        <v>-4916238005.6885843</v>
      </c>
      <c r="K25" s="120">
        <f t="shared" ref="K25:T25" si="17">SUM(K19:K24)</f>
        <v>-4365750206.7469425</v>
      </c>
      <c r="L25" s="120">
        <f t="shared" si="17"/>
        <v>-4177504722.8523564</v>
      </c>
      <c r="M25" s="120">
        <f t="shared" si="17"/>
        <v>-3984923924</v>
      </c>
      <c r="N25" s="120">
        <f t="shared" si="17"/>
        <v>-3999471059.5860362</v>
      </c>
      <c r="O25" s="120">
        <f t="shared" si="17"/>
        <v>-3933187491.9329472</v>
      </c>
      <c r="P25" s="120">
        <f t="shared" si="17"/>
        <v>-3866935272.0191994</v>
      </c>
      <c r="Q25" s="120">
        <f t="shared" si="17"/>
        <v>-3838196469</v>
      </c>
      <c r="R25" s="120">
        <f t="shared" si="17"/>
        <v>-3466619577.3856592</v>
      </c>
      <c r="S25" s="120">
        <f t="shared" si="17"/>
        <v>-3524328367</v>
      </c>
      <c r="T25" s="120">
        <f t="shared" si="17"/>
        <v>-3223782106</v>
      </c>
      <c r="U25" s="120">
        <f t="shared" ref="U25" si="18">SUM(U19:U24)</f>
        <v>-2808296675</v>
      </c>
      <c r="V25" s="263">
        <f t="shared" ref="V25" si="19">SUM(V19:V24)</f>
        <v>-2452529693</v>
      </c>
      <c r="W25" s="263">
        <f t="shared" ref="W25" si="20">SUM(W19:W24)</f>
        <v>-2156402409</v>
      </c>
      <c r="X25" s="263">
        <f>SUM(X19:X24)</f>
        <v>-1656077733</v>
      </c>
      <c r="Y25" s="263">
        <f>SUM(Y19:Y24)</f>
        <v>-1272305232</v>
      </c>
      <c r="Z25" s="136"/>
      <c r="AA25" s="255">
        <f>SUM(AA19:AA24)</f>
        <v>-3223782106</v>
      </c>
      <c r="AB25" s="250">
        <f t="shared" si="8"/>
        <v>-8.5277598936058463E-2</v>
      </c>
      <c r="AC25" s="255">
        <f>SUM(AC19:AC24)</f>
        <v>-2808296675</v>
      </c>
      <c r="AD25" s="250">
        <f t="shared" si="9"/>
        <v>-0.12888136274058715</v>
      </c>
      <c r="AE25" s="255">
        <f>SUM(AE19:AE24)</f>
        <v>-2452529693</v>
      </c>
      <c r="AF25" s="250">
        <f t="shared" si="10"/>
        <v>-0.12668425852834797</v>
      </c>
      <c r="AG25" s="255">
        <f>SUM(AG19:AG24)</f>
        <v>-2156402409</v>
      </c>
      <c r="AH25" s="250">
        <f>AG25/AE25-1</f>
        <v>-0.12074360805710338</v>
      </c>
      <c r="AI25" s="255">
        <f>SUM(AI19:AI24)</f>
        <v>-1656077733</v>
      </c>
      <c r="AJ25" s="362">
        <f>AI25/AG25-1</f>
        <v>-0.23201823273422251</v>
      </c>
      <c r="AK25" s="255">
        <f>SUM(AK19:AK24)</f>
        <v>-1272305231</v>
      </c>
      <c r="AL25" s="362">
        <f>AK25/AI25-1</f>
        <v>-0.23173580222275714</v>
      </c>
      <c r="AM25" s="255">
        <f>SUM(AM19:AM24)</f>
        <v>-881000000</v>
      </c>
      <c r="AN25" s="250">
        <f>AM25/AK25-1</f>
        <v>-0.30755609696931285</v>
      </c>
      <c r="AO25" s="255">
        <f>SUM(AO19:AO24)</f>
        <v>-576000000</v>
      </c>
      <c r="AP25" s="250">
        <f>AO25/AM25-1</f>
        <v>-0.34619750283768447</v>
      </c>
    </row>
    <row r="26" spans="1:42" x14ac:dyDescent="0.45">
      <c r="A26" s="29" t="s">
        <v>31</v>
      </c>
      <c r="B26" s="50">
        <v>0</v>
      </c>
      <c r="C26" s="30">
        <v>0</v>
      </c>
      <c r="D26" s="30">
        <v>0</v>
      </c>
      <c r="E26" s="30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125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264">
        <v>0</v>
      </c>
      <c r="W26" s="264">
        <v>0</v>
      </c>
      <c r="X26" s="264"/>
      <c r="Y26" s="264"/>
      <c r="Z26" s="136"/>
      <c r="AA26" s="256">
        <f>T26</f>
        <v>0</v>
      </c>
      <c r="AB26" s="250"/>
      <c r="AC26" s="256">
        <v>0</v>
      </c>
      <c r="AD26" s="250"/>
      <c r="AE26" s="256">
        <v>0</v>
      </c>
      <c r="AF26" s="250"/>
      <c r="AG26" s="256">
        <v>0</v>
      </c>
      <c r="AH26" s="250"/>
      <c r="AI26" s="256">
        <v>0</v>
      </c>
      <c r="AJ26" s="250"/>
      <c r="AK26" s="256">
        <v>1</v>
      </c>
      <c r="AL26" s="250"/>
      <c r="AM26" s="256">
        <v>0</v>
      </c>
      <c r="AN26" s="250"/>
      <c r="AO26" s="256">
        <v>0</v>
      </c>
      <c r="AP26" s="250"/>
    </row>
    <row r="27" spans="1:42" x14ac:dyDescent="0.45">
      <c r="A27" s="33" t="s">
        <v>32</v>
      </c>
      <c r="B27" s="494">
        <f t="shared" ref="B27:N27" si="21">SUM(B3,B5:B6,B8,B11,B13,B15,B22:B23)</f>
        <v>7840597785.3539124</v>
      </c>
      <c r="C27" s="494">
        <f t="shared" si="21"/>
        <v>8017191004.1971292</v>
      </c>
      <c r="D27" s="494">
        <f t="shared" si="21"/>
        <v>8238762741.0676613</v>
      </c>
      <c r="E27" s="494">
        <f t="shared" si="21"/>
        <v>8376817505.1279659</v>
      </c>
      <c r="F27" s="494">
        <f t="shared" si="21"/>
        <v>8377877680.4350834</v>
      </c>
      <c r="G27" s="494">
        <f t="shared" si="21"/>
        <v>8386242413.1188593</v>
      </c>
      <c r="H27" s="494">
        <f t="shared" si="21"/>
        <v>8267963122.2921448</v>
      </c>
      <c r="I27" s="494">
        <f t="shared" si="21"/>
        <v>8217186107.8343573</v>
      </c>
      <c r="J27" s="494">
        <f t="shared" si="21"/>
        <v>8111213474.8400459</v>
      </c>
      <c r="K27" s="494">
        <f t="shared" si="21"/>
        <v>8063880632.649663</v>
      </c>
      <c r="L27" s="494">
        <f t="shared" si="21"/>
        <v>7915001457.389595</v>
      </c>
      <c r="M27" s="494">
        <f t="shared" si="21"/>
        <v>7547174108</v>
      </c>
      <c r="N27" s="494">
        <f t="shared" si="21"/>
        <v>7703672447.1823835</v>
      </c>
      <c r="O27" s="494">
        <f>O3+O5+O6+O8+O10+O11+O13+O15+O22+O23</f>
        <v>7752399556.1616392</v>
      </c>
      <c r="P27" s="494">
        <f>P3+P5+P6+P8+P10+P11+P13+P15+P22+P23</f>
        <v>7776723510.1443987</v>
      </c>
      <c r="Q27" s="494">
        <f>Q3+Q5+Q6+Q8+Q10+Q11+Q13+Q15+Q22+Q23</f>
        <v>7827225530</v>
      </c>
      <c r="R27" s="494">
        <f>R3+R5+R6+R8+R10+R11+R13+R22+R23</f>
        <v>7567085942.512722</v>
      </c>
      <c r="S27" s="494">
        <f>S3+S5+S6+S8+S11+S13+S22+S23</f>
        <v>7446919538</v>
      </c>
      <c r="T27" s="494">
        <f>T3+T5+T6+T8+T11+T13+T22+T23</f>
        <v>7144003709</v>
      </c>
      <c r="U27" s="494">
        <f>U3+U5+U6+U8+U11+U13+U22+U23</f>
        <v>6680890748</v>
      </c>
      <c r="V27" s="494">
        <f>V3+V5+V6+V8+V11+V13+V22+V23</f>
        <v>6210872026</v>
      </c>
      <c r="W27" s="494">
        <f>W3+W6+W8+W11+W13+W22+W23</f>
        <v>5907108190</v>
      </c>
      <c r="X27" s="494">
        <f>X3+X6+X8+X11+X13+X22+X23+X21</f>
        <v>6015820782</v>
      </c>
      <c r="Y27" s="494">
        <f>Y3+Y6+Y8+Y11+Y13+Y22+Y23+Y21</f>
        <v>6156080240</v>
      </c>
      <c r="Z27" s="76"/>
      <c r="AA27" s="257">
        <f t="shared" ref="AA27:AC27" si="22">AA3+AA5+AA6+AA8+AA11+AA13+AA22+AA23</f>
        <v>7144003709</v>
      </c>
      <c r="AB27" s="250">
        <f t="shared" si="8"/>
        <v>-4.0676662001554731E-2</v>
      </c>
      <c r="AC27" s="257">
        <f t="shared" si="22"/>
        <v>6680890748</v>
      </c>
      <c r="AD27" s="250">
        <f t="shared" si="9"/>
        <v>-6.4825408813348084E-2</v>
      </c>
      <c r="AE27" s="257">
        <f>AE3+AE6+AE8+AE11+AE13+AE22+AE23+AE5</f>
        <v>6210872026</v>
      </c>
      <c r="AF27" s="250">
        <f t="shared" si="10"/>
        <v>-7.0352702914758147E-2</v>
      </c>
      <c r="AG27" s="257">
        <f>AG3+AG6+AG8+AG11+AG13+AG22+AG23</f>
        <v>5907108190</v>
      </c>
      <c r="AH27" s="250">
        <f>AG27/AE27-1</f>
        <v>-4.8908403639357112E-2</v>
      </c>
      <c r="AI27" s="257">
        <f>AI3+AI6+AI8+AI11+AI13+AI22+AI23+AI21</f>
        <v>6015820782</v>
      </c>
      <c r="AJ27" s="362">
        <f>AI27/AG27-1</f>
        <v>1.8403690689809515E-2</v>
      </c>
      <c r="AK27" s="257">
        <f>AK3+AK6+AK8+AK11+AK13+AK22+AK23+AK21</f>
        <v>6156080240</v>
      </c>
      <c r="AL27" s="362">
        <f>AK27/AI27-1</f>
        <v>2.3315099149840313E-2</v>
      </c>
      <c r="AM27" s="287">
        <f>AM3+AM6+AM8+AM11+AM13+AM22+AM23+AM21</f>
        <v>6467000000</v>
      </c>
      <c r="AN27" s="250">
        <f>AM27/AK27-1</f>
        <v>5.0506125306774674E-2</v>
      </c>
      <c r="AO27" s="287">
        <v>6596000000</v>
      </c>
      <c r="AP27" s="250">
        <f>AO27/AM27-1</f>
        <v>1.9947425390443696E-2</v>
      </c>
    </row>
    <row r="28" spans="1:42" x14ac:dyDescent="0.45">
      <c r="A28" s="33" t="s">
        <v>33</v>
      </c>
      <c r="J28" s="34"/>
      <c r="K28" s="34"/>
      <c r="L28" s="39">
        <f t="shared" ref="L28:Q28" si="23">L27/K27-1</f>
        <v>-1.8462472603733016E-2</v>
      </c>
      <c r="M28" s="39">
        <f t="shared" si="23"/>
        <v>-4.6472177089264433E-2</v>
      </c>
      <c r="N28" s="39">
        <f t="shared" si="23"/>
        <v>2.0736018136443324E-2</v>
      </c>
      <c r="O28" s="39">
        <f t="shared" si="23"/>
        <v>6.3251792328056222E-3</v>
      </c>
      <c r="P28" s="39">
        <f t="shared" si="23"/>
        <v>3.137603242266751E-3</v>
      </c>
      <c r="Q28" s="39">
        <f t="shared" si="23"/>
        <v>6.4939970914130729E-3</v>
      </c>
      <c r="R28" s="39">
        <f>R27/Q27-1</f>
        <v>-3.3235223195016039E-2</v>
      </c>
      <c r="S28" s="39">
        <f t="shared" ref="S28" si="24">S27/R27-1</f>
        <v>-1.5880142689752463E-2</v>
      </c>
      <c r="T28" s="39">
        <f t="shared" ref="T28:Y28" si="25">T27/S27-1</f>
        <v>-4.0676662001554731E-2</v>
      </c>
      <c r="U28" s="39">
        <f t="shared" si="25"/>
        <v>-6.4825408813348084E-2</v>
      </c>
      <c r="V28" s="265">
        <f t="shared" si="25"/>
        <v>-7.0352702914758147E-2</v>
      </c>
      <c r="W28" s="265">
        <f t="shared" si="25"/>
        <v>-4.8908403639357112E-2</v>
      </c>
      <c r="X28" s="265">
        <f t="shared" si="25"/>
        <v>1.8403690689809515E-2</v>
      </c>
      <c r="Y28" s="265">
        <f t="shared" si="25"/>
        <v>2.3315099149840313E-2</v>
      </c>
      <c r="Z28" s="136"/>
      <c r="AA28" s="258">
        <f>AA27/S27-1</f>
        <v>-4.0676662001554731E-2</v>
      </c>
      <c r="AB28" s="250">
        <f t="shared" si="8"/>
        <v>1.5614796287569623</v>
      </c>
      <c r="AC28" s="258">
        <f>AC27/T27-1</f>
        <v>-6.4825408813348084E-2</v>
      </c>
      <c r="AD28" s="250">
        <f t="shared" si="9"/>
        <v>0.59367572518291567</v>
      </c>
      <c r="AE28" s="258">
        <f>AE27/AC27-1</f>
        <v>-7.0352702914758147E-2</v>
      </c>
      <c r="AF28" s="250">
        <f>AE28/AC28-1</f>
        <v>8.5264315375546795E-2</v>
      </c>
      <c r="AG28" s="258">
        <f>AG27/AE27-1</f>
        <v>-4.8908403639357112E-2</v>
      </c>
      <c r="AH28" s="250">
        <f>AG28/AE28-1</f>
        <v>-0.30481130627466746</v>
      </c>
      <c r="AI28" s="258">
        <f>AI27/AG27-1</f>
        <v>1.8403690689809515E-2</v>
      </c>
      <c r="AJ28" s="362">
        <f>AI28/AG28-1</f>
        <v>-1.3762889262449751</v>
      </c>
      <c r="AK28" s="258">
        <f>AK27/AI27-1</f>
        <v>2.3315099149840313E-2</v>
      </c>
      <c r="AL28" s="362">
        <f>AK28/AI28-1</f>
        <v>0.26687084361564173</v>
      </c>
      <c r="AM28" s="258">
        <f>AM27/AI27-1</f>
        <v>7.4998779775816704E-2</v>
      </c>
      <c r="AN28" s="250">
        <f>AM28/AK28-1</f>
        <v>2.216747194331806</v>
      </c>
      <c r="AO28" s="258">
        <f>AO27/AK27-1</f>
        <v>7.1461017863535758E-2</v>
      </c>
      <c r="AP28" s="250">
        <f>AO28/AM28-1</f>
        <v>-4.7170926285145964E-2</v>
      </c>
    </row>
    <row r="29" spans="1:42" x14ac:dyDescent="0.45">
      <c r="J29" s="34"/>
      <c r="M29" s="34"/>
      <c r="N29" s="34"/>
      <c r="X29" s="363"/>
      <c r="Y29" s="475"/>
    </row>
    <row r="30" spans="1:42" x14ac:dyDescent="0.45">
      <c r="Q30" s="9">
        <f>Q4/Q18</f>
        <v>-0.51741523973737158</v>
      </c>
      <c r="W30" s="288" t="s">
        <v>113</v>
      </c>
      <c r="X30" s="289">
        <f>X4+X19</f>
        <v>-5185548127</v>
      </c>
      <c r="Y30" s="289">
        <f>Y4+Y19</f>
        <v>-5127223166</v>
      </c>
    </row>
    <row r="31" spans="1:42" ht="39" x14ac:dyDescent="0.45">
      <c r="A31" s="8" t="s">
        <v>6</v>
      </c>
      <c r="B31" s="563" t="s">
        <v>7</v>
      </c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5"/>
    </row>
    <row r="32" spans="1:42" s="14" customFormat="1" x14ac:dyDescent="0.45">
      <c r="A32" s="10" t="s">
        <v>8</v>
      </c>
      <c r="B32" s="44">
        <v>2000</v>
      </c>
      <c r="C32" s="11">
        <v>2001</v>
      </c>
      <c r="D32" s="11">
        <v>2002</v>
      </c>
      <c r="E32" s="11">
        <v>2003</v>
      </c>
      <c r="F32" s="12">
        <v>2004</v>
      </c>
      <c r="G32" s="12">
        <v>2005</v>
      </c>
      <c r="H32" s="12">
        <v>2006</v>
      </c>
      <c r="I32" s="12">
        <v>2007</v>
      </c>
      <c r="J32" s="13">
        <v>2008</v>
      </c>
      <c r="K32" s="116">
        <v>2009</v>
      </c>
      <c r="L32" s="116">
        <v>2010</v>
      </c>
      <c r="M32" s="13">
        <v>2011</v>
      </c>
      <c r="N32" s="13">
        <v>2012</v>
      </c>
      <c r="O32" s="13">
        <v>2013</v>
      </c>
      <c r="P32" s="13">
        <v>2014</v>
      </c>
      <c r="Q32" s="13">
        <v>2015</v>
      </c>
      <c r="R32" s="13">
        <v>2016</v>
      </c>
      <c r="S32" s="13">
        <v>2017</v>
      </c>
      <c r="T32" s="13">
        <v>2018</v>
      </c>
      <c r="U32" s="13">
        <v>2019</v>
      </c>
      <c r="V32" s="266">
        <v>2020</v>
      </c>
      <c r="W32" s="266">
        <v>2021</v>
      </c>
      <c r="X32" s="266">
        <v>2022</v>
      </c>
      <c r="Y32" s="266">
        <v>2023</v>
      </c>
    </row>
    <row r="33" spans="1:28" x14ac:dyDescent="0.45">
      <c r="A33" s="15" t="s">
        <v>9</v>
      </c>
      <c r="B33" s="40">
        <f t="shared" ref="B33:S33" si="26">B3/B$27</f>
        <v>0.49650954284804982</v>
      </c>
      <c r="C33" s="40">
        <f t="shared" si="26"/>
        <v>0.51923967525314274</v>
      </c>
      <c r="D33" s="40">
        <f t="shared" si="26"/>
        <v>0.5269096173586959</v>
      </c>
      <c r="E33" s="40">
        <f t="shared" si="26"/>
        <v>0.60314655069703826</v>
      </c>
      <c r="F33" s="40">
        <f t="shared" si="26"/>
        <v>0.59573842047820558</v>
      </c>
      <c r="G33" s="40">
        <f t="shared" si="26"/>
        <v>0.6000722381534469</v>
      </c>
      <c r="H33" s="40">
        <f t="shared" si="26"/>
        <v>0.59015722318976016</v>
      </c>
      <c r="I33" s="40">
        <f t="shared" si="26"/>
        <v>0.58510806240661384</v>
      </c>
      <c r="J33" s="40">
        <f t="shared" si="26"/>
        <v>0.60671168902698547</v>
      </c>
      <c r="K33" s="40">
        <f t="shared" si="26"/>
        <v>0.59743287853631133</v>
      </c>
      <c r="L33" s="40">
        <f t="shared" si="26"/>
        <v>0.61533914889556984</v>
      </c>
      <c r="M33" s="40">
        <f t="shared" si="26"/>
        <v>0.61108525005555625</v>
      </c>
      <c r="N33" s="40">
        <f t="shared" si="26"/>
        <v>0.62440196790414826</v>
      </c>
      <c r="O33" s="40">
        <f t="shared" si="26"/>
        <v>0.62615563848661637</v>
      </c>
      <c r="P33" s="40">
        <f t="shared" si="26"/>
        <v>0.62980906014367899</v>
      </c>
      <c r="Q33" s="40">
        <f t="shared" si="26"/>
        <v>0.63194223253715287</v>
      </c>
      <c r="R33" s="40">
        <f t="shared" si="26"/>
        <v>0.61497687185105687</v>
      </c>
      <c r="S33" s="40">
        <f t="shared" si="26"/>
        <v>0.60977625900595567</v>
      </c>
      <c r="T33" s="40">
        <f t="shared" ref="T33:X33" si="27">T3/T$27</f>
        <v>0.64238438457395264</v>
      </c>
      <c r="U33" s="40">
        <f t="shared" si="27"/>
        <v>0.66210591324580659</v>
      </c>
      <c r="V33" s="267">
        <f t="shared" si="27"/>
        <v>0.63860808794581336</v>
      </c>
      <c r="W33" s="267">
        <f t="shared" si="27"/>
        <v>0.70137926642579407</v>
      </c>
      <c r="X33" s="267">
        <f t="shared" si="27"/>
        <v>0.68117233084155393</v>
      </c>
      <c r="Y33" s="267">
        <f>Y3/Y$27</f>
        <v>0.66170409143335018</v>
      </c>
    </row>
    <row r="34" spans="1:28" ht="16.5" x14ac:dyDescent="0.5">
      <c r="A34" s="16" t="s">
        <v>10</v>
      </c>
      <c r="B34" s="41">
        <f t="shared" ref="B34:T34" si="28">B4/B$27</f>
        <v>-0.27748127946340467</v>
      </c>
      <c r="C34" s="41">
        <f t="shared" si="28"/>
        <v>-0.27409406498755401</v>
      </c>
      <c r="D34" s="41">
        <f t="shared" si="28"/>
        <v>-0.27246079547575525</v>
      </c>
      <c r="E34" s="41">
        <f t="shared" si="28"/>
        <v>-0.25929832448098628</v>
      </c>
      <c r="F34" s="41">
        <f t="shared" si="28"/>
        <v>-0.26085611002873199</v>
      </c>
      <c r="G34" s="41">
        <f t="shared" si="28"/>
        <v>-0.26280966161185759</v>
      </c>
      <c r="H34" s="41">
        <f t="shared" si="28"/>
        <v>-0.26977187428866983</v>
      </c>
      <c r="I34" s="41">
        <f t="shared" si="28"/>
        <v>-0.27379763750336622</v>
      </c>
      <c r="J34" s="40">
        <f t="shared" si="28"/>
        <v>-0.27785927032707991</v>
      </c>
      <c r="K34" s="40">
        <f t="shared" si="28"/>
        <v>-0.28114438213866128</v>
      </c>
      <c r="L34" s="40">
        <f t="shared" si="28"/>
        <v>-0.28730052921293286</v>
      </c>
      <c r="M34" s="40">
        <f t="shared" si="28"/>
        <v>-0.28121205270066629</v>
      </c>
      <c r="N34" s="40">
        <f t="shared" si="28"/>
        <v>-0.28368601927514303</v>
      </c>
      <c r="O34" s="40">
        <f t="shared" si="28"/>
        <v>-0.28853777743843095</v>
      </c>
      <c r="P34" s="40">
        <f t="shared" si="28"/>
        <v>-0.29286932305324087</v>
      </c>
      <c r="Q34" s="40">
        <f t="shared" si="28"/>
        <v>-0.29223228974724585</v>
      </c>
      <c r="R34" s="40">
        <f t="shared" si="28"/>
        <v>-0.31597128660172119</v>
      </c>
      <c r="S34" s="40">
        <f t="shared" si="28"/>
        <v>-0.33811436408727852</v>
      </c>
      <c r="T34" s="40">
        <f t="shared" si="28"/>
        <v>-0.35833378988521464</v>
      </c>
      <c r="U34" s="40">
        <f t="shared" ref="U34:V34" si="29">U4/U$27</f>
        <v>-0.3832351875783136</v>
      </c>
      <c r="V34" s="267">
        <f t="shared" si="29"/>
        <v>-0.40915117432174891</v>
      </c>
      <c r="W34" s="267">
        <f t="shared" ref="W34:X34" si="30">W4/W$27</f>
        <v>-0.42129196976837496</v>
      </c>
      <c r="X34" s="267">
        <f t="shared" si="30"/>
        <v>-0.42359885131963693</v>
      </c>
      <c r="Y34" s="267">
        <f t="shared" ref="Y34" si="31">Y4/Y$27</f>
        <v>-0.40919529664869997</v>
      </c>
    </row>
    <row r="35" spans="1:28" x14ac:dyDescent="0.45">
      <c r="A35" s="15" t="s">
        <v>11</v>
      </c>
      <c r="B35" s="41">
        <f t="shared" ref="B35:T35" si="32">B5/B$27</f>
        <v>0.22813365277638495</v>
      </c>
      <c r="C35" s="41">
        <f t="shared" si="32"/>
        <v>0.21426127018826252</v>
      </c>
      <c r="D35" s="41">
        <f t="shared" si="32"/>
        <v>0.20696206053250193</v>
      </c>
      <c r="E35" s="41">
        <f t="shared" si="32"/>
        <v>0.16985475808267053</v>
      </c>
      <c r="F35" s="41">
        <f t="shared" si="32"/>
        <v>0.16611963184662157</v>
      </c>
      <c r="G35" s="41">
        <f t="shared" si="32"/>
        <v>0.15757704899493732</v>
      </c>
      <c r="H35" s="41">
        <f t="shared" si="32"/>
        <v>0.15841685710520018</v>
      </c>
      <c r="I35" s="41">
        <f t="shared" si="32"/>
        <v>0.15011366821806404</v>
      </c>
      <c r="J35" s="40">
        <f t="shared" si="32"/>
        <v>0.13303491906634604</v>
      </c>
      <c r="K35" s="40">
        <f t="shared" si="32"/>
        <v>0.12452540307815826</v>
      </c>
      <c r="L35" s="40">
        <f t="shared" si="32"/>
        <v>0.10137704651481416</v>
      </c>
      <c r="M35" s="40">
        <f t="shared" si="32"/>
        <v>9.5325631515164724E-2</v>
      </c>
      <c r="N35" s="40">
        <f t="shared" si="32"/>
        <v>8.2646601590827526E-2</v>
      </c>
      <c r="O35" s="40">
        <f t="shared" si="32"/>
        <v>7.287589810965571E-2</v>
      </c>
      <c r="P35" s="40">
        <f t="shared" si="32"/>
        <v>6.3764925956453777E-2</v>
      </c>
      <c r="Q35" s="40">
        <f t="shared" si="32"/>
        <v>6.0825502238977903E-2</v>
      </c>
      <c r="R35" s="40">
        <f t="shared" si="32"/>
        <v>5.4337613249380363E-2</v>
      </c>
      <c r="S35" s="40">
        <f t="shared" si="32"/>
        <v>4.2487908374121607E-2</v>
      </c>
      <c r="T35" s="40">
        <f t="shared" si="32"/>
        <v>2.4213870547417991E-2</v>
      </c>
      <c r="U35" s="40">
        <f t="shared" ref="U35:V35" si="33">U5/U$27</f>
        <v>1.2582986935561844E-2</v>
      </c>
      <c r="V35" s="267">
        <f t="shared" si="33"/>
        <v>1.465777472453109E-2</v>
      </c>
      <c r="W35" s="267">
        <f t="shared" ref="W35:X35" si="34">W5/W$27</f>
        <v>-3.3043626377190154E-2</v>
      </c>
      <c r="X35" s="267">
        <f t="shared" si="34"/>
        <v>-6.0646134288380137E-2</v>
      </c>
      <c r="Y35" s="267">
        <f t="shared" ref="Y35" si="35">Y5/Y$27</f>
        <v>-8.9715661178581388E-2</v>
      </c>
      <c r="AB35" s="9" t="s">
        <v>114</v>
      </c>
    </row>
    <row r="36" spans="1:28" x14ac:dyDescent="0.45">
      <c r="A36" s="19" t="s">
        <v>12</v>
      </c>
      <c r="B36" s="41">
        <f t="shared" ref="B36:T36" si="36">B6/B$27</f>
        <v>7.2171443412207903E-3</v>
      </c>
      <c r="C36" s="41">
        <f t="shared" si="36"/>
        <v>6.9869912129331743E-3</v>
      </c>
      <c r="D36" s="41">
        <f t="shared" si="36"/>
        <v>4.2735959211906488E-3</v>
      </c>
      <c r="E36" s="41">
        <f t="shared" si="36"/>
        <v>1.9334800381325681E-3</v>
      </c>
      <c r="F36" s="41">
        <f t="shared" si="36"/>
        <v>3.12381900459281E-3</v>
      </c>
      <c r="G36" s="41">
        <f t="shared" si="36"/>
        <v>3.0132139816947848E-3</v>
      </c>
      <c r="H36" s="41">
        <f t="shared" si="36"/>
        <v>2.3445571543245676E-3</v>
      </c>
      <c r="I36" s="41">
        <f t="shared" si="36"/>
        <v>4.3669779122018871E-3</v>
      </c>
      <c r="J36" s="40">
        <f t="shared" si="36"/>
        <v>6.2121186445220512E-3</v>
      </c>
      <c r="K36" s="40">
        <f t="shared" si="36"/>
        <v>8.2095436922709156E-3</v>
      </c>
      <c r="L36" s="40">
        <f t="shared" si="36"/>
        <v>1.1002908145197521E-2</v>
      </c>
      <c r="M36" s="40">
        <f t="shared" si="36"/>
        <v>1.2648548931554609E-2</v>
      </c>
      <c r="N36" s="40">
        <f t="shared" si="36"/>
        <v>1.088967643996217E-2</v>
      </c>
      <c r="O36" s="40">
        <f t="shared" si="36"/>
        <v>1.3416301290047531E-2</v>
      </c>
      <c r="P36" s="40">
        <f t="shared" si="36"/>
        <v>1.3917657340462885E-2</v>
      </c>
      <c r="Q36" s="40">
        <f t="shared" si="36"/>
        <v>1.4999523975643001E-2</v>
      </c>
      <c r="R36" s="40">
        <f t="shared" si="36"/>
        <v>1.6562828893648247E-2</v>
      </c>
      <c r="S36" s="40">
        <f t="shared" si="36"/>
        <v>1.8863319562296043E-2</v>
      </c>
      <c r="T36" s="40">
        <f t="shared" si="36"/>
        <v>1.8930329757475772E-2</v>
      </c>
      <c r="U36" s="40">
        <f t="shared" ref="U36:V36" si="37">U6/U$27</f>
        <v>2.1752699375230077E-2</v>
      </c>
      <c r="V36" s="267">
        <f t="shared" si="37"/>
        <v>2.7191469457593362E-2</v>
      </c>
      <c r="W36" s="267">
        <f t="shared" ref="W36:X36" si="38">W6/W$27</f>
        <v>2.1590710530053792E-2</v>
      </c>
      <c r="X36" s="267">
        <f t="shared" si="38"/>
        <v>1.7273202405051303E-2</v>
      </c>
      <c r="Y36" s="267">
        <f t="shared" ref="Y36" si="39">Y6/Y$27</f>
        <v>1.3873206597450068E-2</v>
      </c>
    </row>
    <row r="37" spans="1:28" x14ac:dyDescent="0.45">
      <c r="A37" s="20" t="s">
        <v>13</v>
      </c>
      <c r="B37" s="41">
        <f t="shared" ref="B37:T37" si="40">B7/B$27</f>
        <v>-1.5072312577780181E-3</v>
      </c>
      <c r="C37" s="41">
        <f t="shared" si="40"/>
        <v>-2.340911491649356E-3</v>
      </c>
      <c r="D37" s="41">
        <f t="shared" si="40"/>
        <v>-2.1820470070606193E-3</v>
      </c>
      <c r="E37" s="41">
        <f t="shared" si="40"/>
        <v>-2.7900956920112567E-3</v>
      </c>
      <c r="F37" s="41">
        <f t="shared" si="40"/>
        <v>-2.6974602257553654E-3</v>
      </c>
      <c r="G37" s="41">
        <f t="shared" si="40"/>
        <v>-2.7747269052701626E-3</v>
      </c>
      <c r="H37" s="41">
        <f t="shared" si="40"/>
        <v>-2.9598137178855756E-3</v>
      </c>
      <c r="I37" s="41">
        <f t="shared" si="40"/>
        <v>-3.2243734966295803E-3</v>
      </c>
      <c r="J37" s="40">
        <f t="shared" si="40"/>
        <v>-3.2804802313708913E-3</v>
      </c>
      <c r="K37" s="40">
        <f t="shared" si="40"/>
        <v>-3.0390998540550771E-3</v>
      </c>
      <c r="L37" s="40">
        <f t="shared" si="40"/>
        <v>-3.7707252580674103E-3</v>
      </c>
      <c r="M37" s="40">
        <f t="shared" si="40"/>
        <v>-4.0143747270763239E-3</v>
      </c>
      <c r="N37" s="40">
        <f t="shared" si="40"/>
        <v>-4.6658291723829896E-3</v>
      </c>
      <c r="O37" s="40">
        <f t="shared" si="40"/>
        <v>-5.2999480554310257E-3</v>
      </c>
      <c r="P37" s="40">
        <f t="shared" si="40"/>
        <v>-5.9283339704307809E-3</v>
      </c>
      <c r="Q37" s="40">
        <f t="shared" si="40"/>
        <v>-6.6614119907696077E-3</v>
      </c>
      <c r="R37" s="40">
        <f t="shared" si="40"/>
        <v>-7.8085393015499861E-3</v>
      </c>
      <c r="S37" s="40">
        <f t="shared" si="40"/>
        <v>-8.8897992870995354E-3</v>
      </c>
      <c r="T37" s="40">
        <f t="shared" si="40"/>
        <v>-9.902795810544561E-3</v>
      </c>
      <c r="U37" s="40">
        <f t="shared" ref="U37:V37" si="41">U7/U$27</f>
        <v>-1.1259797508665981E-2</v>
      </c>
      <c r="V37" s="267">
        <f t="shared" si="41"/>
        <v>-1.2485452071042237E-2</v>
      </c>
      <c r="W37" s="267">
        <f t="shared" ref="W37:X37" si="42">W7/W$27</f>
        <v>-1.3940218183137763E-2</v>
      </c>
      <c r="X37" s="267">
        <f t="shared" si="42"/>
        <v>-1.4699552098458774E-2</v>
      </c>
      <c r="Y37" s="267">
        <f t="shared" ref="Y37" si="43">Y7/Y$27</f>
        <v>-1.5295767164984191E-2</v>
      </c>
    </row>
    <row r="38" spans="1:28" x14ac:dyDescent="0.45">
      <c r="A38" s="21" t="s">
        <v>14</v>
      </c>
      <c r="B38" s="41">
        <f t="shared" ref="B38:T38" si="44">B8/B$27</f>
        <v>0.19164266426066837</v>
      </c>
      <c r="C38" s="41">
        <f t="shared" si="44"/>
        <v>0.185616137309142</v>
      </c>
      <c r="D38" s="41">
        <f t="shared" si="44"/>
        <v>0.18918675378768243</v>
      </c>
      <c r="E38" s="41">
        <f t="shared" si="44"/>
        <v>0.16771034376147539</v>
      </c>
      <c r="F38" s="41">
        <f t="shared" si="44"/>
        <v>0.17145336273489886</v>
      </c>
      <c r="G38" s="41">
        <f t="shared" si="44"/>
        <v>0.17219556234399369</v>
      </c>
      <c r="H38" s="41">
        <f t="shared" si="44"/>
        <v>0.17614945646220978</v>
      </c>
      <c r="I38" s="41">
        <f t="shared" si="44"/>
        <v>0.18383414822959609</v>
      </c>
      <c r="J38" s="40">
        <f t="shared" si="44"/>
        <v>0.17588066894254356</v>
      </c>
      <c r="K38" s="40">
        <f t="shared" si="44"/>
        <v>0.18592807927506272</v>
      </c>
      <c r="L38" s="40">
        <f t="shared" si="44"/>
        <v>0.17895897237896385</v>
      </c>
      <c r="M38" s="40">
        <f t="shared" si="44"/>
        <v>0.17828827184120397</v>
      </c>
      <c r="N38" s="40">
        <f t="shared" si="44"/>
        <v>0.17828336133250947</v>
      </c>
      <c r="O38" s="40">
        <f t="shared" si="44"/>
        <v>0.1790186874975081</v>
      </c>
      <c r="P38" s="40">
        <f t="shared" si="44"/>
        <v>0.18169814921047742</v>
      </c>
      <c r="Q38" s="40">
        <f t="shared" si="44"/>
        <v>0.18226107865835317</v>
      </c>
      <c r="R38" s="40">
        <f t="shared" si="44"/>
        <v>0.18594861141929703</v>
      </c>
      <c r="S38" s="40">
        <f t="shared" si="44"/>
        <v>0.18140089134933796</v>
      </c>
      <c r="T38" s="40">
        <f t="shared" si="44"/>
        <v>0.16928377353394233</v>
      </c>
      <c r="U38" s="40">
        <f t="shared" ref="U38:V38" si="45">U8/U$27</f>
        <v>0.15946800930982685</v>
      </c>
      <c r="V38" s="267">
        <f t="shared" si="45"/>
        <v>0.18029624734051797</v>
      </c>
      <c r="W38" s="267">
        <f t="shared" ref="W38:X38" si="46">W8/W$27</f>
        <v>0.15998079730447598</v>
      </c>
      <c r="X38" s="267">
        <f t="shared" si="46"/>
        <v>0.13128731550035061</v>
      </c>
      <c r="Y38" s="267">
        <f t="shared" ref="Y38" si="47">Y8/Y$27</f>
        <v>0.10044884210281184</v>
      </c>
    </row>
    <row r="39" spans="1:28" x14ac:dyDescent="0.45">
      <c r="A39" s="15" t="s">
        <v>15</v>
      </c>
      <c r="B39" s="41">
        <f t="shared" ref="B39:T39" si="48">B9/B$27</f>
        <v>-4.0666820827600383E-2</v>
      </c>
      <c r="C39" s="41">
        <f t="shared" si="48"/>
        <v>-4.0024503398296815E-2</v>
      </c>
      <c r="D39" s="41">
        <f t="shared" si="48"/>
        <v>-3.9385730609656965E-2</v>
      </c>
      <c r="E39" s="41">
        <f t="shared" si="48"/>
        <v>-3.6945251986632052E-2</v>
      </c>
      <c r="F39" s="41">
        <f t="shared" si="48"/>
        <v>-3.7023520224159605E-2</v>
      </c>
      <c r="G39" s="41">
        <f t="shared" si="48"/>
        <v>-3.6896691838684673E-2</v>
      </c>
      <c r="H39" s="41">
        <f t="shared" si="48"/>
        <v>-3.7474967801707407E-2</v>
      </c>
      <c r="I39" s="41">
        <f t="shared" si="48"/>
        <v>-3.7522574501048803E-2</v>
      </c>
      <c r="J39" s="40">
        <f t="shared" si="48"/>
        <v>-3.7418129211085616E-2</v>
      </c>
      <c r="K39" s="40">
        <f t="shared" si="48"/>
        <v>-3.7057291164104146E-2</v>
      </c>
      <c r="L39" s="40">
        <f t="shared" si="48"/>
        <v>-3.7025505515268189E-2</v>
      </c>
      <c r="M39" s="40">
        <f t="shared" si="48"/>
        <v>-3.4671090166401658E-2</v>
      </c>
      <c r="N39" s="40">
        <f t="shared" si="48"/>
        <v>-3.3914890832498726E-2</v>
      </c>
      <c r="O39" s="40">
        <f t="shared" si="48"/>
        <v>-3.3282918988257935E-2</v>
      </c>
      <c r="P39" s="40">
        <f t="shared" si="48"/>
        <v>-3.2246499761693234E-2</v>
      </c>
      <c r="Q39" s="40">
        <f t="shared" si="48"/>
        <v>-3.0956185186093648E-2</v>
      </c>
      <c r="R39" s="40">
        <f t="shared" si="48"/>
        <v>-3.1868161344079098E-2</v>
      </c>
      <c r="S39" s="40">
        <f t="shared" si="48"/>
        <v>-3.2134553190602766E-2</v>
      </c>
      <c r="T39" s="40">
        <f t="shared" si="48"/>
        <v>-3.2247789388710688E-2</v>
      </c>
      <c r="U39" s="40">
        <f t="shared" ref="U39:V39" si="49">U9/U$27</f>
        <v>-3.2975449129436951E-2</v>
      </c>
      <c r="V39" s="267">
        <f t="shared" si="49"/>
        <v>-3.4090767305080517E-2</v>
      </c>
      <c r="W39" s="267">
        <f t="shared" ref="W39:X39" si="50">W9/W$27</f>
        <v>-3.3939330472970396E-2</v>
      </c>
      <c r="X39" s="267">
        <f t="shared" si="50"/>
        <v>-3.2280685219388906E-2</v>
      </c>
      <c r="Y39" s="267">
        <f t="shared" ref="Y39" si="51">Y9/Y$27</f>
        <v>-3.0902985273629249E-2</v>
      </c>
    </row>
    <row r="40" spans="1:28" x14ac:dyDescent="0.45">
      <c r="A40" s="15" t="s">
        <v>16</v>
      </c>
      <c r="B40" s="41">
        <f t="shared" ref="B40:T40" si="52">B10/B$27</f>
        <v>-8.9625975765531538E-4</v>
      </c>
      <c r="C40" s="41">
        <f t="shared" si="52"/>
        <v>-9.5050433899609326E-4</v>
      </c>
      <c r="D40" s="41">
        <f t="shared" si="52"/>
        <v>4.3542925918914062E-4</v>
      </c>
      <c r="E40" s="41">
        <f t="shared" si="52"/>
        <v>-1.2246678087744485E-3</v>
      </c>
      <c r="F40" s="41">
        <f t="shared" si="52"/>
        <v>-1.0587921392341702E-3</v>
      </c>
      <c r="G40" s="41">
        <f t="shared" si="52"/>
        <v>-1.5368226264228112E-3</v>
      </c>
      <c r="H40" s="41">
        <f t="shared" si="52"/>
        <v>-1.3550446650463694E-3</v>
      </c>
      <c r="I40" s="41">
        <f t="shared" si="52"/>
        <v>-1.6954312729931336E-3</v>
      </c>
      <c r="J40" s="40">
        <f t="shared" si="52"/>
        <v>-1.2608059825149362E-3</v>
      </c>
      <c r="K40" s="40">
        <f t="shared" si="52"/>
        <v>-6.22797681845563E-4</v>
      </c>
      <c r="L40" s="40">
        <f t="shared" si="52"/>
        <v>-1.5234407055386124E-3</v>
      </c>
      <c r="M40" s="40">
        <f t="shared" si="52"/>
        <v>-4.4004218697958251E-4</v>
      </c>
      <c r="N40" s="40">
        <f t="shared" si="52"/>
        <v>-3.2851196148858778E-4</v>
      </c>
      <c r="O40" s="40">
        <f t="shared" si="52"/>
        <v>1.5608763608582893E-4</v>
      </c>
      <c r="P40" s="40">
        <f t="shared" si="52"/>
        <v>5.5146131175290111E-4</v>
      </c>
      <c r="Q40" s="40">
        <f t="shared" si="52"/>
        <v>1.1966593991830461E-3</v>
      </c>
      <c r="R40" s="40">
        <f t="shared" si="52"/>
        <v>6.3697566297891679E-4</v>
      </c>
      <c r="S40" s="40">
        <f t="shared" si="52"/>
        <v>-5.7064790056014162E-4</v>
      </c>
      <c r="T40" s="40">
        <f t="shared" si="52"/>
        <v>-1.8097844747353559E-3</v>
      </c>
      <c r="U40" s="40">
        <f t="shared" ref="U40:V40" si="53">U10/U$27</f>
        <v>-3.5845296537993917E-3</v>
      </c>
      <c r="V40" s="267">
        <f t="shared" si="53"/>
        <v>-5.521290224053314E-3</v>
      </c>
      <c r="W40" s="267">
        <f t="shared" ref="W40:X40" si="54">W10/W$27</f>
        <v>-8.1969318053069212E-3</v>
      </c>
      <c r="X40" s="267">
        <f t="shared" si="54"/>
        <v>-1.1189402151308968E-2</v>
      </c>
      <c r="Y40" s="267">
        <f t="shared" ref="Y40" si="55">Y10/Y$27</f>
        <v>-1.2993544411630345E-2</v>
      </c>
    </row>
    <row r="41" spans="1:28" x14ac:dyDescent="0.45">
      <c r="A41" s="15" t="s">
        <v>17</v>
      </c>
      <c r="B41" s="41">
        <f t="shared" ref="B41:T41" si="56">B11/B$27</f>
        <v>3.5977594693819828E-3</v>
      </c>
      <c r="C41" s="41">
        <f t="shared" si="56"/>
        <v>3.2594972899273088E-3</v>
      </c>
      <c r="D41" s="41">
        <f t="shared" si="56"/>
        <v>3.578814434788774E-3</v>
      </c>
      <c r="E41" s="41">
        <f t="shared" si="56"/>
        <v>2.9647090246854749E-3</v>
      </c>
      <c r="F41" s="41">
        <f t="shared" si="56"/>
        <v>3.0725577615867694E-3</v>
      </c>
      <c r="G41" s="41">
        <f t="shared" si="56"/>
        <v>3.0827396541788636E-3</v>
      </c>
      <c r="H41" s="41">
        <f t="shared" si="56"/>
        <v>3.1854722343956196E-3</v>
      </c>
      <c r="I41" s="41">
        <f t="shared" si="56"/>
        <v>3.2432528153409452E-3</v>
      </c>
      <c r="J41" s="40">
        <f t="shared" si="56"/>
        <v>3.3128317136051424E-3</v>
      </c>
      <c r="K41" s="40">
        <f t="shared" si="56"/>
        <v>3.4303356586644529E-3</v>
      </c>
      <c r="L41" s="40">
        <f t="shared" si="56"/>
        <v>3.0961573659184804E-3</v>
      </c>
      <c r="M41" s="40">
        <f t="shared" si="56"/>
        <v>3.142921000703645E-3</v>
      </c>
      <c r="N41" s="40">
        <f t="shared" si="56"/>
        <v>3.0831766880026457E-3</v>
      </c>
      <c r="O41" s="40">
        <f t="shared" si="56"/>
        <v>3.180174976881668E-3</v>
      </c>
      <c r="P41" s="40">
        <f t="shared" si="56"/>
        <v>3.3887071398520556E-3</v>
      </c>
      <c r="Q41" s="40">
        <f t="shared" si="56"/>
        <v>3.6088992059489055E-3</v>
      </c>
      <c r="R41" s="40">
        <f t="shared" si="56"/>
        <v>4.1931542765292354E-3</v>
      </c>
      <c r="S41" s="40">
        <f t="shared" si="56"/>
        <v>4.06891438068872E-3</v>
      </c>
      <c r="T41" s="40">
        <f t="shared" si="56"/>
        <v>4.145008766260146E-3</v>
      </c>
      <c r="U41" s="40">
        <f t="shared" ref="U41:V41" si="57">U11/U$27</f>
        <v>4.3738818822546622E-3</v>
      </c>
      <c r="V41" s="267">
        <f t="shared" si="57"/>
        <v>4.6741215852577284E-3</v>
      </c>
      <c r="W41" s="267">
        <f t="shared" ref="W41:X41" si="58">W11/W$27</f>
        <v>4.3815759196379304E-3</v>
      </c>
      <c r="X41" s="267">
        <f t="shared" si="58"/>
        <v>3.5682243168260659E-3</v>
      </c>
      <c r="Y41" s="267">
        <f t="shared" ref="Y41" si="59">Y11/Y$27</f>
        <v>3.452454999189549E-3</v>
      </c>
    </row>
    <row r="42" spans="1:28" x14ac:dyDescent="0.45">
      <c r="A42" s="15" t="s">
        <v>18</v>
      </c>
      <c r="B42" s="41">
        <f t="shared" ref="B42:T42" si="60">B12/B$27</f>
        <v>-6.6545102378033853E-3</v>
      </c>
      <c r="C42" s="41">
        <f t="shared" si="60"/>
        <v>-6.8179288811949868E-3</v>
      </c>
      <c r="D42" s="41">
        <f t="shared" si="60"/>
        <v>-6.7415798195621856E-3</v>
      </c>
      <c r="E42" s="41">
        <f t="shared" si="60"/>
        <v>-6.9059325376756124E-3</v>
      </c>
      <c r="F42" s="41">
        <f t="shared" si="60"/>
        <v>-7.0374184040239074E-3</v>
      </c>
      <c r="G42" s="41">
        <f t="shared" si="60"/>
        <v>-7.3368656360087905E-3</v>
      </c>
      <c r="H42" s="41">
        <f t="shared" si="60"/>
        <v>-7.4634293433923126E-3</v>
      </c>
      <c r="I42" s="41">
        <f t="shared" si="60"/>
        <v>-7.9506515788774299E-3</v>
      </c>
      <c r="J42" s="40">
        <f t="shared" si="60"/>
        <v>-8.1719687467956843E-3</v>
      </c>
      <c r="K42" s="40">
        <f t="shared" si="60"/>
        <v>-8.4696002160962892E-3</v>
      </c>
      <c r="L42" s="40">
        <f t="shared" si="60"/>
        <v>-9.0831369756667717E-3</v>
      </c>
      <c r="M42" s="40">
        <f t="shared" si="60"/>
        <v>-8.9232047699302919E-3</v>
      </c>
      <c r="N42" s="40">
        <f t="shared" si="60"/>
        <v>-9.3732093270861797E-3</v>
      </c>
      <c r="O42" s="40">
        <f t="shared" si="60"/>
        <v>-9.5446875110426384E-3</v>
      </c>
      <c r="P42" s="40">
        <f t="shared" si="60"/>
        <v>-8.7390181538171061E-3</v>
      </c>
      <c r="Q42" s="40">
        <f t="shared" si="60"/>
        <v>-8.4788651797030826E-3</v>
      </c>
      <c r="R42" s="40">
        <f t="shared" si="60"/>
        <v>-9.4523582329077236E-3</v>
      </c>
      <c r="S42" s="40">
        <f t="shared" si="60"/>
        <v>-9.9015327913430182E-3</v>
      </c>
      <c r="T42" s="40">
        <f t="shared" si="60"/>
        <v>-1.0304032864269612E-2</v>
      </c>
      <c r="U42" s="40">
        <f t="shared" ref="U42:V42" si="61">U12/U$27</f>
        <v>-1.1098494915845913E-2</v>
      </c>
      <c r="V42" s="267">
        <f t="shared" si="61"/>
        <v>-1.2245079383640162E-2</v>
      </c>
      <c r="W42" s="267">
        <f t="shared" ref="W42:X42" si="62">W12/W$27</f>
        <v>-1.1726823476378549E-2</v>
      </c>
      <c r="X42" s="267">
        <f t="shared" si="62"/>
        <v>-1.1624858109012729E-2</v>
      </c>
      <c r="Y42" s="267">
        <f t="shared" ref="Y42" si="63">Y12/Y$27</f>
        <v>-1.2925743800896266E-2</v>
      </c>
    </row>
    <row r="43" spans="1:28" x14ac:dyDescent="0.45">
      <c r="A43" s="15" t="s">
        <v>19</v>
      </c>
      <c r="B43" s="41">
        <f t="shared" ref="B43:T43" si="64">B13/B$27</f>
        <v>1.5235011186615363E-2</v>
      </c>
      <c r="C43" s="41">
        <f t="shared" si="64"/>
        <v>1.3259619405699405E-2</v>
      </c>
      <c r="D43" s="41">
        <f t="shared" si="64"/>
        <v>1.2543782651534051E-2</v>
      </c>
      <c r="E43" s="41">
        <f t="shared" si="64"/>
        <v>9.7972255887732486E-3</v>
      </c>
      <c r="F43" s="41">
        <f t="shared" si="64"/>
        <v>9.5838526458148759E-3</v>
      </c>
      <c r="G43" s="41">
        <f t="shared" si="64"/>
        <v>1.0044901395470294E-2</v>
      </c>
      <c r="H43" s="41">
        <f t="shared" si="64"/>
        <v>9.9694498280432295E-3</v>
      </c>
      <c r="I43" s="41">
        <f t="shared" si="64"/>
        <v>9.3884068092830297E-3</v>
      </c>
      <c r="J43" s="40">
        <f t="shared" si="64"/>
        <v>9.3630988001550397E-3</v>
      </c>
      <c r="K43" s="40">
        <f t="shared" si="64"/>
        <v>9.9142443169196494E-3</v>
      </c>
      <c r="L43" s="40">
        <f t="shared" si="64"/>
        <v>8.9624837817545485E-3</v>
      </c>
      <c r="M43" s="40">
        <f t="shared" si="64"/>
        <v>9.4140474279886584E-3</v>
      </c>
      <c r="N43" s="40">
        <f t="shared" si="64"/>
        <v>1.0155290603550133E-2</v>
      </c>
      <c r="O43" s="40">
        <f t="shared" si="64"/>
        <v>1.0868889619733589E-2</v>
      </c>
      <c r="P43" s="40">
        <f t="shared" si="64"/>
        <v>1.1219263994524805E-2</v>
      </c>
      <c r="Q43" s="40">
        <f t="shared" si="64"/>
        <v>1.1689550230706077E-2</v>
      </c>
      <c r="R43" s="40">
        <f t="shared" si="64"/>
        <v>1.193157818596941E-2</v>
      </c>
      <c r="S43" s="40">
        <f t="shared" si="64"/>
        <v>1.0599117607922783E-2</v>
      </c>
      <c r="T43" s="40">
        <f t="shared" si="64"/>
        <v>9.5163275061507947E-3</v>
      </c>
      <c r="U43" s="40">
        <f t="shared" ref="U43:V43" si="65">U13/U$27</f>
        <v>8.627909985993382E-3</v>
      </c>
      <c r="V43" s="267">
        <f t="shared" si="65"/>
        <v>1.0249252558017527E-2</v>
      </c>
      <c r="W43" s="267">
        <f t="shared" ref="W43:X43" si="66">W13/W$27</f>
        <v>7.0287495445381376E-3</v>
      </c>
      <c r="X43" s="267">
        <f t="shared" si="66"/>
        <v>3.5997162789149061E-3</v>
      </c>
      <c r="Y43" s="267">
        <f t="shared" ref="Y43" si="67">Y13/Y$27</f>
        <v>3.5198711120113667E-3</v>
      </c>
    </row>
    <row r="44" spans="1:28" x14ac:dyDescent="0.45">
      <c r="A44" s="15" t="s">
        <v>20</v>
      </c>
      <c r="B44" s="41">
        <f t="shared" ref="B44:T44" si="68">B14/B$27</f>
        <v>-6.5431462052929301E-4</v>
      </c>
      <c r="C44" s="41">
        <f t="shared" si="68"/>
        <v>-5.0207701477981309E-4</v>
      </c>
      <c r="D44" s="41">
        <f t="shared" si="68"/>
        <v>-4.5940103408509463E-4</v>
      </c>
      <c r="E44" s="41">
        <f t="shared" si="68"/>
        <v>-8.40729344353144E-4</v>
      </c>
      <c r="F44" s="41">
        <f t="shared" si="68"/>
        <v>-7.1240931555963257E-4</v>
      </c>
      <c r="G44" s="41">
        <f t="shared" si="68"/>
        <v>-6.5731079852036391E-4</v>
      </c>
      <c r="H44" s="41">
        <f t="shared" si="68"/>
        <v>-7.7676037288704832E-4</v>
      </c>
      <c r="I44" s="41">
        <f t="shared" si="68"/>
        <v>-6.1148547327243745E-4</v>
      </c>
      <c r="J44" s="40">
        <f t="shared" si="68"/>
        <v>-8.1549528929790872E-4</v>
      </c>
      <c r="K44" s="40">
        <f t="shared" si="68"/>
        <v>-1.5721190708318383E-3</v>
      </c>
      <c r="L44" s="40">
        <f t="shared" si="68"/>
        <v>-2.1643712206444159E-3</v>
      </c>
      <c r="M44" s="40">
        <f t="shared" si="68"/>
        <v>-2.4440924160537467E-3</v>
      </c>
      <c r="N44" s="40">
        <f t="shared" si="68"/>
        <v>-2.0495558401146014E-3</v>
      </c>
      <c r="O44" s="40">
        <f t="shared" si="68"/>
        <v>-2.8084607363680226E-3</v>
      </c>
      <c r="P44" s="40">
        <f t="shared" si="68"/>
        <v>-2.3971492735692965E-3</v>
      </c>
      <c r="Q44" s="40">
        <f t="shared" si="68"/>
        <v>-3.4552511482315753E-3</v>
      </c>
      <c r="R44" s="40">
        <f t="shared" si="68"/>
        <v>-3.7494893836538673E-3</v>
      </c>
      <c r="S44" s="40">
        <f t="shared" si="68"/>
        <v>-4.0160251292351212E-3</v>
      </c>
      <c r="T44" s="40">
        <f t="shared" si="68"/>
        <v>-4.0135215724871904E-3</v>
      </c>
      <c r="U44" s="40">
        <f t="shared" ref="U44:V44" si="69">U14/U$27</f>
        <v>-5.3772941895142631E-3</v>
      </c>
      <c r="V44" s="267">
        <f t="shared" si="69"/>
        <v>-5.9657295859407555E-3</v>
      </c>
      <c r="W44" s="267">
        <f t="shared" ref="W44:X44" si="70">W14/W$27</f>
        <v>-5.2260552891617174E-3</v>
      </c>
      <c r="X44" s="267">
        <f t="shared" si="70"/>
        <v>-5.1456705779238093E-3</v>
      </c>
      <c r="Y44" s="267">
        <f t="shared" ref="Y44" si="71">Y14/Y$27</f>
        <v>-5.2948984953451487E-3</v>
      </c>
    </row>
    <row r="45" spans="1:28" x14ac:dyDescent="0.45">
      <c r="A45" s="15" t="s">
        <v>21</v>
      </c>
      <c r="B45" s="41">
        <f t="shared" ref="B45:T45" si="72">B15/B$27</f>
        <v>7.069810945999137E-4</v>
      </c>
      <c r="C45" s="41">
        <f t="shared" si="72"/>
        <v>6.2307964399962361E-4</v>
      </c>
      <c r="D45" s="41">
        <f t="shared" si="72"/>
        <v>6.0846963844458663E-4</v>
      </c>
      <c r="E45" s="41">
        <f t="shared" si="72"/>
        <v>4.0379966219029526E-4</v>
      </c>
      <c r="F45" s="41">
        <f t="shared" si="72"/>
        <v>4.3035820779337944E-4</v>
      </c>
      <c r="G45" s="41">
        <f t="shared" si="72"/>
        <v>3.7938160926485399E-4</v>
      </c>
      <c r="H45" s="41">
        <f t="shared" si="72"/>
        <v>3.2237812004671173E-4</v>
      </c>
      <c r="I45" s="41">
        <f t="shared" si="72"/>
        <v>7.0063147314811645E-4</v>
      </c>
      <c r="J45" s="40">
        <f t="shared" si="72"/>
        <v>3.9470939826727065E-4</v>
      </c>
      <c r="K45" s="40">
        <f t="shared" si="72"/>
        <v>3.778707060340924E-4</v>
      </c>
      <c r="L45" s="40">
        <f t="shared" si="72"/>
        <v>2.3768741835706109E-4</v>
      </c>
      <c r="M45" s="40">
        <f t="shared" si="72"/>
        <v>2.5922523742048006E-4</v>
      </c>
      <c r="N45" s="40">
        <f t="shared" si="72"/>
        <v>2.1488715040095238E-4</v>
      </c>
      <c r="O45" s="40">
        <f t="shared" si="72"/>
        <v>1.7846248680809915E-4</v>
      </c>
      <c r="P45" s="40">
        <f t="shared" si="72"/>
        <v>1.5599300178614818E-4</v>
      </c>
      <c r="Q45" s="40">
        <f t="shared" si="72"/>
        <v>5.3140030066311375E-5</v>
      </c>
      <c r="R45" s="40">
        <f t="shared" si="72"/>
        <v>-5.5910181134662396E-5</v>
      </c>
      <c r="S45" s="40">
        <f t="shared" si="72"/>
        <v>-3.0959176989028988E-4</v>
      </c>
      <c r="T45" s="40">
        <f t="shared" si="72"/>
        <v>-6.0492115850327866E-4</v>
      </c>
      <c r="U45" s="40">
        <f t="shared" ref="U45:V45" si="73">U15/U$27</f>
        <v>-1.0330052174653522E-3</v>
      </c>
      <c r="V45" s="267">
        <f t="shared" si="73"/>
        <v>-1.3405929095213335E-3</v>
      </c>
      <c r="W45" s="267">
        <f t="shared" ref="W45:X45" si="74">W15/W$27</f>
        <v>-1.9440172129300377E-3</v>
      </c>
      <c r="X45" s="267">
        <f t="shared" si="74"/>
        <v>-2.4285565560254086E-3</v>
      </c>
      <c r="Y45" s="267">
        <f t="shared" ref="Y45" si="75">Y15/Y$27</f>
        <v>0</v>
      </c>
    </row>
    <row r="46" spans="1:28" x14ac:dyDescent="0.45">
      <c r="A46" s="15" t="s">
        <v>22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268"/>
      <c r="W46" s="268"/>
      <c r="X46" s="268"/>
      <c r="Y46" s="268"/>
    </row>
    <row r="47" spans="1:28" x14ac:dyDescent="0.45">
      <c r="A47" s="15" t="s">
        <v>23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268"/>
      <c r="W47" s="268"/>
      <c r="X47" s="268"/>
      <c r="Y47" s="268"/>
    </row>
    <row r="48" spans="1:28" x14ac:dyDescent="0.45">
      <c r="A48" s="22" t="s">
        <v>24</v>
      </c>
      <c r="B48" s="36">
        <f t="shared" ref="B48:T48" si="76">B18/B$18</f>
        <v>1</v>
      </c>
      <c r="C48" s="36">
        <f t="shared" si="76"/>
        <v>1</v>
      </c>
      <c r="D48" s="36">
        <f t="shared" si="76"/>
        <v>1</v>
      </c>
      <c r="E48" s="36">
        <f t="shared" si="76"/>
        <v>1</v>
      </c>
      <c r="F48" s="36">
        <f t="shared" si="76"/>
        <v>1</v>
      </c>
      <c r="G48" s="36">
        <f t="shared" si="76"/>
        <v>1</v>
      </c>
      <c r="H48" s="36">
        <f t="shared" si="76"/>
        <v>1</v>
      </c>
      <c r="I48" s="36">
        <f t="shared" si="76"/>
        <v>1</v>
      </c>
      <c r="J48" s="36">
        <f t="shared" si="76"/>
        <v>1</v>
      </c>
      <c r="K48" s="36">
        <f t="shared" si="76"/>
        <v>1</v>
      </c>
      <c r="L48" s="36">
        <f t="shared" si="76"/>
        <v>1</v>
      </c>
      <c r="M48" s="36">
        <f t="shared" si="76"/>
        <v>1</v>
      </c>
      <c r="N48" s="36">
        <f t="shared" si="76"/>
        <v>1</v>
      </c>
      <c r="O48" s="36">
        <f t="shared" si="76"/>
        <v>1</v>
      </c>
      <c r="P48" s="36">
        <f t="shared" si="76"/>
        <v>1</v>
      </c>
      <c r="Q48" s="36">
        <f t="shared" si="76"/>
        <v>1</v>
      </c>
      <c r="R48" s="36">
        <f t="shared" si="76"/>
        <v>1</v>
      </c>
      <c r="S48" s="36">
        <f t="shared" si="76"/>
        <v>1</v>
      </c>
      <c r="T48" s="36">
        <f t="shared" si="76"/>
        <v>1</v>
      </c>
      <c r="U48" s="36">
        <f t="shared" ref="U48:V48" si="77">U18/U$18</f>
        <v>1</v>
      </c>
      <c r="V48" s="269">
        <f t="shared" si="77"/>
        <v>1</v>
      </c>
      <c r="W48" s="269">
        <f t="shared" ref="W48" si="78">W18/W$18</f>
        <v>1</v>
      </c>
      <c r="X48" s="269">
        <f>X18/X$18</f>
        <v>1</v>
      </c>
      <c r="Y48" s="269">
        <f>Y18/Y$18</f>
        <v>1</v>
      </c>
    </row>
    <row r="49" spans="1:25" s="24" customFormat="1" ht="16.5" x14ac:dyDescent="0.5">
      <c r="A49" s="23" t="s">
        <v>25</v>
      </c>
      <c r="B49" s="42">
        <f t="shared" ref="B49:T49" si="79">B19/B$27</f>
        <v>-0.51623424417929564</v>
      </c>
      <c r="C49" s="42">
        <f t="shared" si="79"/>
        <v>-0.51570591418563549</v>
      </c>
      <c r="D49" s="42">
        <f t="shared" si="79"/>
        <v>-0.51325747886294459</v>
      </c>
      <c r="E49" s="42">
        <f t="shared" si="79"/>
        <v>-0.50823336941379704</v>
      </c>
      <c r="F49" s="42">
        <f t="shared" si="79"/>
        <v>-0.51046630963913753</v>
      </c>
      <c r="G49" s="42">
        <f t="shared" si="79"/>
        <v>-0.50964041958617667</v>
      </c>
      <c r="H49" s="42">
        <f t="shared" si="79"/>
        <v>-0.51229483682630506</v>
      </c>
      <c r="I49" s="42">
        <f t="shared" si="79"/>
        <v>-0.50933772432598146</v>
      </c>
      <c r="J49" s="42">
        <f t="shared" si="79"/>
        <v>-0.50653550021274585</v>
      </c>
      <c r="K49" s="42">
        <f t="shared" si="79"/>
        <v>-0.4959089536799075</v>
      </c>
      <c r="L49" s="42">
        <f t="shared" si="79"/>
        <v>-0.49378359703882024</v>
      </c>
      <c r="M49" s="42">
        <f t="shared" si="79"/>
        <v>-0.50126789204317634</v>
      </c>
      <c r="N49" s="42">
        <f t="shared" si="79"/>
        <v>-0.4833177320549073</v>
      </c>
      <c r="O49" s="42">
        <f t="shared" si="79"/>
        <v>-0.46737028191663144</v>
      </c>
      <c r="P49" s="42">
        <f t="shared" si="79"/>
        <v>-0.4483256066223546</v>
      </c>
      <c r="Q49" s="42">
        <f t="shared" si="79"/>
        <v>-0.42753286284827413</v>
      </c>
      <c r="R49" s="42">
        <f t="shared" si="79"/>
        <v>-0.42006700581504502</v>
      </c>
      <c r="S49" s="42">
        <f t="shared" si="79"/>
        <v>-0.41124096660006104</v>
      </c>
      <c r="T49" s="42">
        <f t="shared" si="79"/>
        <v>-0.41450058897218861</v>
      </c>
      <c r="U49" s="42">
        <f t="shared" ref="U49:V49" si="80">U19/U$27</f>
        <v>-0.42773535158548592</v>
      </c>
      <c r="V49" s="270">
        <f t="shared" si="80"/>
        <v>-0.44389302218090815</v>
      </c>
      <c r="W49" s="270">
        <f t="shared" ref="W49:X49" si="81">W19/W$27</f>
        <v>-0.45168772370156979</v>
      </c>
      <c r="X49" s="270">
        <f t="shared" si="81"/>
        <v>-0.43838629001232104</v>
      </c>
      <c r="Y49" s="270">
        <f t="shared" ref="Y49" si="82">Y19/Y$27</f>
        <v>-0.42367610302623349</v>
      </c>
    </row>
    <row r="50" spans="1:25" x14ac:dyDescent="0.45">
      <c r="A50" s="15" t="s">
        <v>26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268"/>
      <c r="W50" s="268"/>
      <c r="X50" s="268"/>
      <c r="Y50" s="268"/>
    </row>
    <row r="51" spans="1:25" x14ac:dyDescent="0.45">
      <c r="A51" s="15" t="s">
        <v>69</v>
      </c>
      <c r="B51" s="77">
        <f t="shared" ref="B51:T51" si="83">B21/B$27</f>
        <v>-9.5076325137190096E-2</v>
      </c>
      <c r="C51" s="77">
        <f t="shared" si="83"/>
        <v>-9.637474360705231E-2</v>
      </c>
      <c r="D51" s="77">
        <f t="shared" si="83"/>
        <v>-0.10133369982616869</v>
      </c>
      <c r="E51" s="77">
        <f t="shared" si="83"/>
        <v>-0.1093486213943759</v>
      </c>
      <c r="F51" s="77">
        <f t="shared" si="83"/>
        <v>-0.10717819075099769</v>
      </c>
      <c r="G51" s="77">
        <f t="shared" si="83"/>
        <v>-0.10559525708131613</v>
      </c>
      <c r="H51" s="77">
        <f t="shared" si="83"/>
        <v>-0.11317698904550967</v>
      </c>
      <c r="I51" s="77">
        <f t="shared" si="83"/>
        <v>-0.11188313172340024</v>
      </c>
      <c r="J51" s="77">
        <f t="shared" si="83"/>
        <v>-0.11005297807501632</v>
      </c>
      <c r="K51" s="77">
        <f t="shared" si="83"/>
        <v>-0.11566837951348624</v>
      </c>
      <c r="L51" s="77">
        <f t="shared" si="83"/>
        <v>-0.11503782330560931</v>
      </c>
      <c r="M51" s="77">
        <f t="shared" si="83"/>
        <v>-0.11657033128034471</v>
      </c>
      <c r="N51" s="77">
        <f t="shared" si="83"/>
        <v>-0.12617152135608412</v>
      </c>
      <c r="O51" s="77">
        <f t="shared" si="83"/>
        <v>-0.13413055536958504</v>
      </c>
      <c r="P51" s="77">
        <f t="shared" si="83"/>
        <v>-0.14441396827855549</v>
      </c>
      <c r="Q51" s="77">
        <f t="shared" si="83"/>
        <v>-0.15625542592484876</v>
      </c>
      <c r="R51" s="77">
        <f t="shared" si="83"/>
        <v>-0.14946353238639581</v>
      </c>
      <c r="S51" s="77">
        <f t="shared" si="83"/>
        <v>-0.19482251924392954</v>
      </c>
      <c r="T51" s="77">
        <f t="shared" si="83"/>
        <v>-0.16828277573336853</v>
      </c>
      <c r="U51" s="77">
        <f t="shared" ref="U51:V51" si="84">U21/U$27</f>
        <v>-0.12370089007179197</v>
      </c>
      <c r="V51" s="271">
        <f t="shared" si="84"/>
        <v>-7.5306892179072563E-2</v>
      </c>
      <c r="W51" s="271">
        <f t="shared" ref="W51:X51" si="85">W21/W$27</f>
        <v>-1.9003303543692163E-2</v>
      </c>
      <c r="X51" s="271">
        <f t="shared" si="85"/>
        <v>7.212100106076598E-2</v>
      </c>
      <c r="Y51" s="271">
        <f t="shared" ref="Y51" si="86">Y21/Y$27</f>
        <v>0.13736605096622329</v>
      </c>
    </row>
    <row r="52" spans="1:25" x14ac:dyDescent="0.45">
      <c r="A52" s="15" t="s">
        <v>27</v>
      </c>
      <c r="B52" s="35">
        <f t="shared" ref="B52:R52" si="87">B22/B$27</f>
        <v>5.0942327749759951E-2</v>
      </c>
      <c r="C52" s="35">
        <f t="shared" si="87"/>
        <v>5.0422377084612953E-2</v>
      </c>
      <c r="D52" s="35">
        <f t="shared" si="87"/>
        <v>4.9351277578046977E-2</v>
      </c>
      <c r="E52" s="35">
        <f t="shared" si="87"/>
        <v>3.8362157427735084E-2</v>
      </c>
      <c r="F52" s="35">
        <f t="shared" si="87"/>
        <v>4.4176836556773166E-2</v>
      </c>
      <c r="G52" s="35">
        <f t="shared" si="87"/>
        <v>4.680231491656351E-2</v>
      </c>
      <c r="H52" s="35">
        <f t="shared" si="87"/>
        <v>5.1905152506772065E-2</v>
      </c>
      <c r="I52" s="35">
        <f t="shared" si="87"/>
        <v>5.5528572566614844E-2</v>
      </c>
      <c r="J52" s="35">
        <f t="shared" si="87"/>
        <v>5.7098835060622098E-2</v>
      </c>
      <c r="K52" s="35">
        <f t="shared" si="87"/>
        <v>6.1843563946422465E-2</v>
      </c>
      <c r="L52" s="35">
        <f t="shared" si="87"/>
        <v>7.2437587643553056E-2</v>
      </c>
      <c r="M52" s="35">
        <f t="shared" si="87"/>
        <v>8.0493503966743263E-2</v>
      </c>
      <c r="N52" s="35">
        <f t="shared" si="87"/>
        <v>8.1028874535456527E-2</v>
      </c>
      <c r="O52" s="35">
        <f t="shared" si="87"/>
        <v>8.3927914730455341E-2</v>
      </c>
      <c r="P52" s="35">
        <f t="shared" si="87"/>
        <v>8.470339782562876E-2</v>
      </c>
      <c r="Q52" s="35">
        <f t="shared" si="87"/>
        <v>8.2655134123879009E-2</v>
      </c>
      <c r="R52" s="35">
        <f t="shared" si="87"/>
        <v>0.10004857893290599</v>
      </c>
      <c r="S52" s="35">
        <f t="shared" ref="S52:T52" si="88">S22/S$27</f>
        <v>0.12120566583191676</v>
      </c>
      <c r="T52" s="35">
        <f t="shared" si="88"/>
        <v>0.11880775508707116</v>
      </c>
      <c r="U52" s="35">
        <f t="shared" ref="U52:V52" si="89">U22/U$27</f>
        <v>0.1163833159871334</v>
      </c>
      <c r="V52" s="268">
        <f t="shared" si="89"/>
        <v>0.10807619303537716</v>
      </c>
      <c r="W52" s="268">
        <f t="shared" ref="W52:X52" si="90">W22/W$27</f>
        <v>8.9413166140097394E-2</v>
      </c>
      <c r="X52" s="268">
        <f t="shared" si="90"/>
        <v>7.4462274265270828E-2</v>
      </c>
      <c r="Y52" s="268">
        <f t="shared" ref="Y52" si="91">Y22/Y$27</f>
        <v>6.2786366962624254E-2</v>
      </c>
    </row>
    <row r="53" spans="1:25" x14ac:dyDescent="0.45">
      <c r="A53" s="15" t="s">
        <v>28</v>
      </c>
      <c r="B53" s="35">
        <f t="shared" ref="B53:R53" si="92">B23/B$27</f>
        <v>6.0149162733188349E-3</v>
      </c>
      <c r="C53" s="35">
        <f t="shared" si="92"/>
        <v>6.3313526122802197E-3</v>
      </c>
      <c r="D53" s="35">
        <f t="shared" si="92"/>
        <v>6.5856280971146536E-3</v>
      </c>
      <c r="E53" s="35">
        <f t="shared" si="92"/>
        <v>5.8269757172992745E-3</v>
      </c>
      <c r="F53" s="35">
        <f t="shared" si="92"/>
        <v>6.301160763712948E-3</v>
      </c>
      <c r="G53" s="35">
        <f t="shared" si="92"/>
        <v>6.8325989504498192E-3</v>
      </c>
      <c r="H53" s="35">
        <f t="shared" si="92"/>
        <v>7.5494533992477974E-3</v>
      </c>
      <c r="I53" s="35">
        <f t="shared" si="92"/>
        <v>7.7162795691370391E-3</v>
      </c>
      <c r="J53" s="35">
        <f t="shared" si="92"/>
        <v>7.9911293469533615E-3</v>
      </c>
      <c r="K53" s="35">
        <f t="shared" si="92"/>
        <v>8.3380807901560043E-3</v>
      </c>
      <c r="L53" s="35">
        <f t="shared" si="92"/>
        <v>8.588007855871686E-3</v>
      </c>
      <c r="M53" s="35">
        <f t="shared" si="92"/>
        <v>9.3426000236643807E-3</v>
      </c>
      <c r="N53" s="35">
        <f t="shared" si="92"/>
        <v>9.296163755142306E-3</v>
      </c>
      <c r="O53" s="35">
        <f t="shared" si="92"/>
        <v>1.0221945166207806E-2</v>
      </c>
      <c r="P53" s="35">
        <f t="shared" si="92"/>
        <v>1.0791384075382328E-2</v>
      </c>
      <c r="Q53" s="35">
        <f t="shared" si="92"/>
        <v>1.0768279600089662E-2</v>
      </c>
      <c r="R53" s="35">
        <f t="shared" si="92"/>
        <v>1.1363787528234012E-2</v>
      </c>
      <c r="S53" s="35">
        <f t="shared" ref="S53:T53" si="93">S23/S$27</f>
        <v>1.1597923887760422E-2</v>
      </c>
      <c r="T53" s="35">
        <f t="shared" si="93"/>
        <v>1.2718550227729173E-2</v>
      </c>
      <c r="U53" s="35">
        <f t="shared" ref="U53:V53" si="94">U23/U$27</f>
        <v>1.470528327819319E-2</v>
      </c>
      <c r="V53" s="268">
        <f t="shared" si="94"/>
        <v>1.6246853352891801E-2</v>
      </c>
      <c r="W53" s="268">
        <f t="shared" ref="W53:X53" si="95">W23/W$27</f>
        <v>1.6225734135402722E-2</v>
      </c>
      <c r="X53" s="268">
        <f t="shared" si="95"/>
        <v>1.6515935331266322E-2</v>
      </c>
      <c r="Y53" s="268">
        <f t="shared" ref="Y53" si="96">Y23/Y$27</f>
        <v>1.6849115826339522E-2</v>
      </c>
    </row>
    <row r="54" spans="1:25" x14ac:dyDescent="0.45">
      <c r="A54" s="15" t="s">
        <v>29</v>
      </c>
      <c r="B54" s="43">
        <f>B24/B$25</f>
        <v>3.5973276631550151E-2</v>
      </c>
      <c r="C54" s="43">
        <f t="shared" ref="C54:I54" si="97">C24/C$25</f>
        <v>3.5531325488368112E-2</v>
      </c>
      <c r="D54" s="43">
        <f t="shared" si="97"/>
        <v>3.4660830448404123E-2</v>
      </c>
      <c r="E54" s="43">
        <f t="shared" si="97"/>
        <v>3.2434610159401384E-2</v>
      </c>
      <c r="F54" s="43">
        <f t="shared" si="97"/>
        <v>3.2723164665423687E-2</v>
      </c>
      <c r="G54" s="43">
        <f t="shared" si="97"/>
        <v>3.3014190469887565E-2</v>
      </c>
      <c r="H54" s="43">
        <f t="shared" si="97"/>
        <v>0</v>
      </c>
      <c r="I54" s="43">
        <f t="shared" si="97"/>
        <v>0</v>
      </c>
      <c r="J54" s="43">
        <f t="shared" ref="J54:M55" si="98">J24/J$25</f>
        <v>0</v>
      </c>
      <c r="K54" s="43">
        <f t="shared" si="98"/>
        <v>0</v>
      </c>
      <c r="L54" s="43">
        <f t="shared" si="98"/>
        <v>0</v>
      </c>
      <c r="M54" s="43">
        <f t="shared" si="98"/>
        <v>0</v>
      </c>
      <c r="N54" s="43">
        <f t="shared" ref="N54:R55" si="99">N24/N$25</f>
        <v>0</v>
      </c>
      <c r="O54" s="43">
        <f t="shared" si="99"/>
        <v>0</v>
      </c>
      <c r="P54" s="43">
        <f t="shared" si="99"/>
        <v>0</v>
      </c>
      <c r="Q54" s="43">
        <f t="shared" si="99"/>
        <v>0</v>
      </c>
      <c r="R54" s="43">
        <f t="shared" si="99"/>
        <v>0</v>
      </c>
      <c r="S54" s="43">
        <f t="shared" ref="S54:T54" si="100">S24/S$25</f>
        <v>0</v>
      </c>
      <c r="T54" s="43">
        <f t="shared" si="100"/>
        <v>0</v>
      </c>
      <c r="U54" s="43">
        <f t="shared" ref="U54:V54" si="101">U24/U$25</f>
        <v>0</v>
      </c>
      <c r="V54" s="268">
        <f t="shared" si="101"/>
        <v>0</v>
      </c>
      <c r="W54" s="268">
        <f t="shared" ref="W54:X54" si="102">W24/W$25</f>
        <v>0</v>
      </c>
      <c r="X54" s="268">
        <f t="shared" si="102"/>
        <v>0</v>
      </c>
      <c r="Y54" s="268">
        <f t="shared" ref="Y54" si="103">Y24/Y$25</f>
        <v>0</v>
      </c>
    </row>
    <row r="55" spans="1:25" x14ac:dyDescent="0.45">
      <c r="A55" s="25" t="s">
        <v>30</v>
      </c>
      <c r="B55" s="37">
        <f>B25/B$25</f>
        <v>1</v>
      </c>
      <c r="C55" s="37">
        <f t="shared" ref="C55:I55" si="104">C25/C$25</f>
        <v>1</v>
      </c>
      <c r="D55" s="37">
        <f t="shared" si="104"/>
        <v>1</v>
      </c>
      <c r="E55" s="37">
        <f t="shared" si="104"/>
        <v>1</v>
      </c>
      <c r="F55" s="37">
        <f t="shared" si="104"/>
        <v>1</v>
      </c>
      <c r="G55" s="37">
        <f t="shared" si="104"/>
        <v>1</v>
      </c>
      <c r="H55" s="37">
        <f t="shared" si="104"/>
        <v>1</v>
      </c>
      <c r="I55" s="37">
        <f t="shared" si="104"/>
        <v>1</v>
      </c>
      <c r="J55" s="37">
        <f t="shared" si="98"/>
        <v>1</v>
      </c>
      <c r="K55" s="37">
        <f t="shared" si="98"/>
        <v>1</v>
      </c>
      <c r="L55" s="37">
        <f t="shared" si="98"/>
        <v>1</v>
      </c>
      <c r="M55" s="37">
        <f t="shared" si="98"/>
        <v>1</v>
      </c>
      <c r="N55" s="37">
        <f t="shared" si="99"/>
        <v>1</v>
      </c>
      <c r="O55" s="37">
        <f t="shared" si="99"/>
        <v>1</v>
      </c>
      <c r="P55" s="37">
        <f t="shared" si="99"/>
        <v>1</v>
      </c>
      <c r="Q55" s="37">
        <f t="shared" si="99"/>
        <v>1</v>
      </c>
      <c r="R55" s="37">
        <f t="shared" si="99"/>
        <v>1</v>
      </c>
      <c r="S55" s="37">
        <f t="shared" ref="S55:T55" si="105">S25/S$25</f>
        <v>1</v>
      </c>
      <c r="T55" s="37">
        <f t="shared" si="105"/>
        <v>1</v>
      </c>
      <c r="U55" s="37">
        <f t="shared" ref="U55:V55" si="106">U25/U$25</f>
        <v>1</v>
      </c>
      <c r="V55" s="272">
        <f t="shared" si="106"/>
        <v>1</v>
      </c>
      <c r="W55" s="272">
        <f t="shared" ref="W55:X55" si="107">W25/W$25</f>
        <v>1</v>
      </c>
      <c r="X55" s="272">
        <f t="shared" si="107"/>
        <v>1</v>
      </c>
      <c r="Y55" s="272">
        <f t="shared" ref="Y55" si="108">Y25/Y$25</f>
        <v>1</v>
      </c>
    </row>
    <row r="56" spans="1:25" x14ac:dyDescent="0.45">
      <c r="A56" s="29" t="s">
        <v>31</v>
      </c>
      <c r="B56" s="38">
        <v>0</v>
      </c>
      <c r="C56" s="30">
        <v>0</v>
      </c>
      <c r="D56" s="30">
        <v>0</v>
      </c>
      <c r="E56" s="30">
        <v>0</v>
      </c>
      <c r="F56" s="31">
        <v>0</v>
      </c>
      <c r="G56" s="31">
        <v>0</v>
      </c>
      <c r="H56" s="31">
        <v>0</v>
      </c>
      <c r="I56" s="31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273">
        <v>0</v>
      </c>
      <c r="W56" s="273">
        <v>0</v>
      </c>
      <c r="X56" s="273">
        <v>0</v>
      </c>
      <c r="Y56" s="273">
        <v>0</v>
      </c>
    </row>
    <row r="57" spans="1:25" x14ac:dyDescent="0.45">
      <c r="A57" s="33" t="s">
        <v>32</v>
      </c>
    </row>
    <row r="58" spans="1:25" x14ac:dyDescent="0.45">
      <c r="A58" s="33" t="s">
        <v>33</v>
      </c>
    </row>
    <row r="61" spans="1:25" ht="39" x14ac:dyDescent="0.45">
      <c r="A61" s="8" t="s">
        <v>6</v>
      </c>
      <c r="B61" s="563" t="s">
        <v>7</v>
      </c>
      <c r="C61" s="564"/>
      <c r="D61" s="564"/>
      <c r="E61" s="564"/>
      <c r="F61" s="564"/>
      <c r="G61" s="564"/>
      <c r="H61" s="564"/>
      <c r="I61" s="564"/>
      <c r="J61" s="564"/>
      <c r="K61" s="564"/>
      <c r="L61" s="564"/>
      <c r="M61" s="565"/>
    </row>
    <row r="62" spans="1:25" x14ac:dyDescent="0.45">
      <c r="A62" s="10" t="s">
        <v>8</v>
      </c>
      <c r="B62" s="45">
        <v>2000</v>
      </c>
      <c r="C62" s="11">
        <v>2001</v>
      </c>
      <c r="D62" s="11">
        <v>2002</v>
      </c>
      <c r="E62" s="11">
        <v>2003</v>
      </c>
      <c r="F62" s="12">
        <v>2004</v>
      </c>
      <c r="G62" s="12">
        <v>2005</v>
      </c>
      <c r="H62" s="12">
        <v>2006</v>
      </c>
      <c r="I62" s="12">
        <v>2007</v>
      </c>
      <c r="J62" s="13">
        <v>2008</v>
      </c>
      <c r="K62" s="116">
        <v>2009</v>
      </c>
      <c r="L62" s="116">
        <v>2010</v>
      </c>
      <c r="M62" s="13">
        <v>2011</v>
      </c>
      <c r="N62" s="13">
        <v>2012</v>
      </c>
      <c r="O62" s="13">
        <v>2013</v>
      </c>
      <c r="P62" s="13">
        <v>2014</v>
      </c>
      <c r="Q62" s="13">
        <v>2015</v>
      </c>
      <c r="R62" s="13">
        <v>2016</v>
      </c>
      <c r="S62" s="13">
        <v>2017</v>
      </c>
      <c r="T62" s="13">
        <v>2018</v>
      </c>
      <c r="U62" s="13">
        <v>2019</v>
      </c>
      <c r="V62" s="266">
        <v>2020</v>
      </c>
      <c r="W62" s="266">
        <v>2021</v>
      </c>
      <c r="X62" s="266">
        <v>2022</v>
      </c>
      <c r="Y62" s="266">
        <v>2023</v>
      </c>
    </row>
    <row r="63" spans="1:25" x14ac:dyDescent="0.45">
      <c r="A63" s="15" t="s">
        <v>9</v>
      </c>
      <c r="B63" s="53"/>
      <c r="C63" s="59">
        <f t="shared" ref="C63:F75" si="109">(C3/B3)-1</f>
        <v>6.9333874212077706E-2</v>
      </c>
      <c r="D63" s="59">
        <f t="shared" si="109"/>
        <v>4.2816806198110902E-2</v>
      </c>
      <c r="E63" s="59">
        <f t="shared" si="109"/>
        <v>0.16386814249708581</v>
      </c>
      <c r="F63" s="59">
        <f t="shared" si="109"/>
        <v>-1.2157465180064997E-2</v>
      </c>
      <c r="G63" s="59">
        <f t="shared" ref="G63:G75" si="110">(G3/F3)-1</f>
        <v>8.2803932445041362E-3</v>
      </c>
      <c r="H63" s="59">
        <f t="shared" ref="H63:H75" si="111">(H3/G3)-1</f>
        <v>-3.0393962804645458E-2</v>
      </c>
      <c r="I63" s="59">
        <f t="shared" ref="I63:I75" si="112">(I3/H3)-1</f>
        <v>-1.4644493724126462E-2</v>
      </c>
      <c r="J63" s="59">
        <f t="shared" ref="J63:J75" si="113">(J3/I3)-1</f>
        <v>2.3549824251261953E-2</v>
      </c>
      <c r="K63" s="59">
        <f t="shared" ref="K63:K75" si="114">(K3/J3)-1</f>
        <v>-2.1039844253540108E-2</v>
      </c>
      <c r="L63" s="59">
        <f t="shared" ref="L63:L75" si="115">(L3/K3)-1</f>
        <v>1.0956190085831929E-2</v>
      </c>
      <c r="M63" s="59">
        <f t="shared" ref="M63:M75" si="116">(M3/L3)-1</f>
        <v>-5.3064006825891408E-2</v>
      </c>
      <c r="N63" s="59">
        <f t="shared" ref="N63:N75" si="117">(N3/M3)-1</f>
        <v>4.2979810717236999E-2</v>
      </c>
      <c r="O63" s="59">
        <f t="shared" ref="O63:O75" si="118">(O3/N3)-1</f>
        <v>9.1515041868110991E-3</v>
      </c>
      <c r="P63" s="59">
        <f t="shared" ref="P63:P75" si="119">(P3/O3)-1</f>
        <v>8.9905963632055386E-3</v>
      </c>
      <c r="Q63" s="59">
        <f t="shared" ref="Q63:Q75" si="120">(Q3/P3)-1</f>
        <v>9.9030068130305793E-3</v>
      </c>
      <c r="R63" s="59">
        <f t="shared" ref="R63:R75" si="121">(R3/Q3)-1</f>
        <v>-5.9189356805077309E-2</v>
      </c>
      <c r="S63" s="59">
        <f t="shared" ref="S63:S75" si="122">(S3/R3)-1</f>
        <v>-2.4202449763905953E-2</v>
      </c>
      <c r="T63" s="59">
        <f t="shared" ref="T63:T75" si="123">(T3/S3)-1</f>
        <v>1.0623688584015856E-2</v>
      </c>
      <c r="U63" s="59">
        <f t="shared" ref="U63:U75" si="124">(U3/T3)-1</f>
        <v>-3.6115071270649501E-2</v>
      </c>
      <c r="V63" s="59">
        <f t="shared" ref="V63:V75" si="125">(V3/U3)-1</f>
        <v>-0.10334544522456757</v>
      </c>
      <c r="W63" s="59">
        <f t="shared" ref="W63:W75" si="126">(W3/V3)-1</f>
        <v>4.457794811982918E-2</v>
      </c>
      <c r="X63" s="59">
        <f t="shared" ref="X63:X75" si="127">(X3/W3)-1</f>
        <v>-1.0936808468927195E-2</v>
      </c>
      <c r="Y63" s="59">
        <f t="shared" ref="Y63:Y75" si="128">(Y3/X3)-1</f>
        <v>-5.9317484366817608E-3</v>
      </c>
    </row>
    <row r="64" spans="1:25" ht="16.5" x14ac:dyDescent="0.5">
      <c r="A64" s="16" t="s">
        <v>10</v>
      </c>
      <c r="B64" s="54"/>
      <c r="C64" s="60">
        <f t="shared" si="109"/>
        <v>1.0040988715123156E-2</v>
      </c>
      <c r="D64" s="60">
        <f t="shared" si="109"/>
        <v>2.1513602902355489E-2</v>
      </c>
      <c r="E64" s="60">
        <f t="shared" si="109"/>
        <v>-3.2362372236237946E-2</v>
      </c>
      <c r="F64" s="60">
        <f t="shared" si="109"/>
        <v>6.1350171265077691E-3</v>
      </c>
      <c r="G64" s="60">
        <f t="shared" si="110"/>
        <v>8.4949089089423335E-3</v>
      </c>
      <c r="H64" s="60">
        <f t="shared" si="111"/>
        <v>1.2013861658214608E-2</v>
      </c>
      <c r="I64" s="60">
        <f t="shared" si="112"/>
        <v>8.6897775526508791E-3</v>
      </c>
      <c r="J64" s="60">
        <f t="shared" si="113"/>
        <v>1.7466591426682498E-3</v>
      </c>
      <c r="K64" s="60">
        <f t="shared" si="114"/>
        <v>5.918459227022943E-3</v>
      </c>
      <c r="L64" s="60">
        <f t="shared" si="115"/>
        <v>3.030005145966852E-3</v>
      </c>
      <c r="M64" s="60">
        <f t="shared" si="116"/>
        <v>-6.6679350983058105E-2</v>
      </c>
      <c r="N64" s="60">
        <f t="shared" si="117"/>
        <v>2.9715956108455011E-2</v>
      </c>
      <c r="O64" s="60">
        <f t="shared" si="118"/>
        <v>2.353591952850409E-2</v>
      </c>
      <c r="P64" s="60">
        <f t="shared" si="119"/>
        <v>1.819676230611611E-2</v>
      </c>
      <c r="Q64" s="60">
        <f t="shared" si="120"/>
        <v>4.3047264919973127E-3</v>
      </c>
      <c r="R64" s="60">
        <f t="shared" si="121"/>
        <v>4.5298281830868481E-2</v>
      </c>
      <c r="S64" s="60">
        <f t="shared" si="122"/>
        <v>5.308638426864265E-2</v>
      </c>
      <c r="T64" s="60">
        <f t="shared" si="123"/>
        <v>1.6691403686068584E-2</v>
      </c>
      <c r="U64" s="60">
        <f t="shared" si="124"/>
        <v>1.6191603558590728E-4</v>
      </c>
      <c r="V64" s="60">
        <f t="shared" si="125"/>
        <v>-7.4860147602203719E-3</v>
      </c>
      <c r="W64" s="60">
        <f t="shared" si="126"/>
        <v>-2.0686540310818402E-2</v>
      </c>
      <c r="X64" s="60">
        <f t="shared" si="127"/>
        <v>2.398019547598218E-2</v>
      </c>
      <c r="Y64" s="60">
        <f t="shared" si="128"/>
        <v>-1.1480497982405136E-2</v>
      </c>
    </row>
    <row r="65" spans="1:25" x14ac:dyDescent="0.45">
      <c r="A65" s="15" t="s">
        <v>11</v>
      </c>
      <c r="B65" s="54"/>
      <c r="C65" s="60">
        <f t="shared" si="109"/>
        <v>-3.9654787145631309E-2</v>
      </c>
      <c r="D65" s="60">
        <f t="shared" si="109"/>
        <v>-7.3712946239734567E-3</v>
      </c>
      <c r="E65" s="60">
        <f t="shared" si="109"/>
        <v>-0.16554285935471624</v>
      </c>
      <c r="F65" s="60">
        <f t="shared" si="109"/>
        <v>-2.1866340823110675E-2</v>
      </c>
      <c r="G65" s="60">
        <f t="shared" si="110"/>
        <v>-5.0477194958064464E-2</v>
      </c>
      <c r="H65" s="60">
        <f t="shared" si="111"/>
        <v>-8.8496269600646382E-3</v>
      </c>
      <c r="I65" s="60">
        <f t="shared" si="112"/>
        <v>-5.8233068019034939E-2</v>
      </c>
      <c r="J65" s="60">
        <f t="shared" si="113"/>
        <v>-0.12520131729394679</v>
      </c>
      <c r="K65" s="60">
        <f t="shared" si="114"/>
        <v>-6.9426747738871586E-2</v>
      </c>
      <c r="L65" s="60">
        <f t="shared" si="115"/>
        <v>-0.20092307985999791</v>
      </c>
      <c r="M65" s="60">
        <f t="shared" si="116"/>
        <v>-0.10339031357592865</v>
      </c>
      <c r="N65" s="60">
        <f t="shared" si="117"/>
        <v>-0.11502959194233087</v>
      </c>
      <c r="O65" s="60">
        <f t="shared" si="118"/>
        <v>-0.11264528951798769</v>
      </c>
      <c r="P65" s="60">
        <f t="shared" si="119"/>
        <v>-0.1222750366845553</v>
      </c>
      <c r="Q65" s="60">
        <f t="shared" si="120"/>
        <v>-3.9903176310278288E-2</v>
      </c>
      <c r="R65" s="60">
        <f t="shared" si="121"/>
        <v>-0.13635418350085338</v>
      </c>
      <c r="S65" s="60">
        <f t="shared" si="122"/>
        <v>-0.23049262148023697</v>
      </c>
      <c r="T65" s="60">
        <f t="shared" si="123"/>
        <v>-0.45328136855144718</v>
      </c>
      <c r="U65" s="60">
        <f t="shared" si="124"/>
        <v>-0.51402690287258457</v>
      </c>
      <c r="V65" s="60">
        <f t="shared" si="125"/>
        <v>8.2935293800037835E-2</v>
      </c>
      <c r="W65" s="60">
        <f t="shared" si="126"/>
        <v>-3.144085030044137</v>
      </c>
      <c r="X65" s="60">
        <f t="shared" si="127"/>
        <v>0.86911225421645266</v>
      </c>
      <c r="Y65" s="60">
        <f t="shared" si="128"/>
        <v>0.51382098449503144</v>
      </c>
    </row>
    <row r="66" spans="1:25" x14ac:dyDescent="0.45">
      <c r="A66" s="19" t="s">
        <v>12</v>
      </c>
      <c r="B66" s="54"/>
      <c r="C66" s="60">
        <f t="shared" si="109"/>
        <v>-1.0085100881162656E-2</v>
      </c>
      <c r="D66" s="60">
        <f t="shared" si="109"/>
        <v>-0.37144537710695402</v>
      </c>
      <c r="E66" s="60">
        <f t="shared" si="109"/>
        <v>-0.53999421399894565</v>
      </c>
      <c r="F66" s="60">
        <f t="shared" si="109"/>
        <v>0.61585032970594678</v>
      </c>
      <c r="G66" s="60">
        <f t="shared" si="110"/>
        <v>-3.4443908731333517E-2</v>
      </c>
      <c r="H66" s="60">
        <f t="shared" si="111"/>
        <v>-0.23288236071095192</v>
      </c>
      <c r="I66" s="60">
        <f t="shared" si="112"/>
        <v>0.85116343573460562</v>
      </c>
      <c r="J66" s="60">
        <f t="shared" si="113"/>
        <v>0.4041757050949375</v>
      </c>
      <c r="K66" s="60">
        <f t="shared" si="114"/>
        <v>0.31382504309378678</v>
      </c>
      <c r="L66" s="60">
        <f t="shared" si="115"/>
        <v>0.31551370695220715</v>
      </c>
      <c r="M66" s="60">
        <f t="shared" si="116"/>
        <v>9.6141417026131437E-2</v>
      </c>
      <c r="N66" s="60">
        <f t="shared" si="117"/>
        <v>-0.12120473041842883</v>
      </c>
      <c r="O66" s="60">
        <f t="shared" si="118"/>
        <v>0.2398129434592553</v>
      </c>
      <c r="P66" s="60">
        <f t="shared" si="119"/>
        <v>4.0624023374896678E-2</v>
      </c>
      <c r="Q66" s="60">
        <f t="shared" si="120"/>
        <v>8.4732183829674623E-2</v>
      </c>
      <c r="R66" s="60">
        <f t="shared" si="121"/>
        <v>6.7524516419899872E-2</v>
      </c>
      <c r="S66" s="60">
        <f t="shared" si="122"/>
        <v>0.12080897986958505</v>
      </c>
      <c r="T66" s="60">
        <f t="shared" si="123"/>
        <v>-3.7268754718457031E-2</v>
      </c>
      <c r="U66" s="60">
        <f t="shared" si="124"/>
        <v>7.4602080685015171E-2</v>
      </c>
      <c r="V66" s="60">
        <f t="shared" si="125"/>
        <v>0.16208456012646977</v>
      </c>
      <c r="W66" s="60">
        <f t="shared" si="126"/>
        <v>-0.2448093554997276</v>
      </c>
      <c r="X66" s="60">
        <f t="shared" si="127"/>
        <v>-0.18524714344857141</v>
      </c>
      <c r="Y66" s="60">
        <f t="shared" si="128"/>
        <v>-0.17811061018747598</v>
      </c>
    </row>
    <row r="67" spans="1:25" x14ac:dyDescent="0.45">
      <c r="A67" s="20" t="s">
        <v>13</v>
      </c>
      <c r="B67" s="54"/>
      <c r="C67" s="60">
        <f t="shared" si="109"/>
        <v>0.58810113584938106</v>
      </c>
      <c r="D67" s="60">
        <f t="shared" si="109"/>
        <v>-4.2102864882673008E-2</v>
      </c>
      <c r="E67" s="60">
        <f t="shared" si="109"/>
        <v>0.30008591794527484</v>
      </c>
      <c r="F67" s="60">
        <f t="shared" si="109"/>
        <v>-3.3079178700773815E-2</v>
      </c>
      <c r="G67" s="60">
        <f t="shared" si="110"/>
        <v>2.967126338844972E-2</v>
      </c>
      <c r="H67" s="60">
        <f t="shared" si="111"/>
        <v>5.165974918979499E-2</v>
      </c>
      <c r="I67" s="60">
        <f t="shared" si="112"/>
        <v>8.2693567178595995E-2</v>
      </c>
      <c r="J67" s="60">
        <f t="shared" si="113"/>
        <v>4.2799459400768569E-3</v>
      </c>
      <c r="K67" s="60">
        <f t="shared" si="114"/>
        <v>-7.8986908095576958E-2</v>
      </c>
      <c r="L67" s="60">
        <f t="shared" si="115"/>
        <v>0.21783045113037014</v>
      </c>
      <c r="M67" s="60">
        <f t="shared" si="116"/>
        <v>1.5141048971257343E-2</v>
      </c>
      <c r="N67" s="60">
        <f t="shared" si="117"/>
        <v>0.18638149513054181</v>
      </c>
      <c r="O67" s="60">
        <f t="shared" si="118"/>
        <v>0.14309182350159011</v>
      </c>
      <c r="P67" s="60">
        <f t="shared" si="119"/>
        <v>0.12207415395772236</v>
      </c>
      <c r="Q67" s="60">
        <f t="shared" si="120"/>
        <v>0.13095369024481207</v>
      </c>
      <c r="R67" s="60">
        <f t="shared" si="121"/>
        <v>0.13324633958929821</v>
      </c>
      <c r="S67" s="60">
        <f t="shared" si="122"/>
        <v>0.12039238941917629</v>
      </c>
      <c r="T67" s="60">
        <f t="shared" si="123"/>
        <v>6.8638652649285703E-2</v>
      </c>
      <c r="U67" s="60">
        <f t="shared" si="124"/>
        <v>6.3323604107731857E-2</v>
      </c>
      <c r="V67" s="60">
        <f t="shared" si="125"/>
        <v>3.0841519290067065E-2</v>
      </c>
      <c r="W67" s="60">
        <f t="shared" si="126"/>
        <v>6.1909836341984548E-2</v>
      </c>
      <c r="X67" s="60">
        <f t="shared" si="127"/>
        <v>7.3876887139794789E-2</v>
      </c>
      <c r="Y67" s="60">
        <f t="shared" si="128"/>
        <v>6.4820845435814345E-2</v>
      </c>
    </row>
    <row r="68" spans="1:25" x14ac:dyDescent="0.45">
      <c r="A68" s="21" t="s">
        <v>14</v>
      </c>
      <c r="B68" s="54"/>
      <c r="C68" s="60">
        <f t="shared" si="109"/>
        <v>-9.6320309232478252E-3</v>
      </c>
      <c r="D68" s="60">
        <f t="shared" si="109"/>
        <v>4.7405283643491725E-2</v>
      </c>
      <c r="E68" s="60">
        <f t="shared" si="109"/>
        <v>-9.8665111926121485E-2</v>
      </c>
      <c r="F68" s="60">
        <f t="shared" si="109"/>
        <v>2.244774016151041E-2</v>
      </c>
      <c r="G68" s="60">
        <f t="shared" si="110"/>
        <v>5.3316247627313018E-3</v>
      </c>
      <c r="H68" s="60">
        <f t="shared" si="111"/>
        <v>8.533831424231586E-3</v>
      </c>
      <c r="I68" s="60">
        <f t="shared" si="112"/>
        <v>3.7216631948164602E-2</v>
      </c>
      <c r="J68" s="60">
        <f t="shared" si="113"/>
        <v>-5.5602932576278352E-2</v>
      </c>
      <c r="K68" s="60">
        <f t="shared" si="114"/>
        <v>5.0957449625232298E-2</v>
      </c>
      <c r="L68" s="60">
        <f t="shared" si="115"/>
        <v>-5.5253257393358068E-2</v>
      </c>
      <c r="M68" s="60">
        <f t="shared" si="116"/>
        <v>-5.0045798546147657E-2</v>
      </c>
      <c r="N68" s="60">
        <f t="shared" si="117"/>
        <v>2.0707904491950258E-2</v>
      </c>
      <c r="O68" s="60">
        <f t="shared" si="118"/>
        <v>1.0475747346712305E-2</v>
      </c>
      <c r="P68" s="60">
        <f t="shared" si="119"/>
        <v>1.8152062561017424E-2</v>
      </c>
      <c r="Q68" s="60">
        <f t="shared" si="120"/>
        <v>9.6122738186932288E-3</v>
      </c>
      <c r="R68" s="60">
        <f t="shared" si="121"/>
        <v>-1.3675497043732388E-2</v>
      </c>
      <c r="S68" s="60">
        <f t="shared" si="122"/>
        <v>-3.9948629096694388E-2</v>
      </c>
      <c r="T68" s="60">
        <f t="shared" si="123"/>
        <v>-0.10475701917686797</v>
      </c>
      <c r="U68" s="60">
        <f t="shared" si="124"/>
        <v>-0.11905064909387164</v>
      </c>
      <c r="V68" s="60">
        <f t="shared" si="125"/>
        <v>5.1069237900093878E-2</v>
      </c>
      <c r="W68" s="60">
        <f t="shared" si="126"/>
        <v>-0.15607565803634793</v>
      </c>
      <c r="X68" s="60">
        <f t="shared" si="127"/>
        <v>-0.16425290472924958</v>
      </c>
      <c r="Y68" s="60">
        <f t="shared" si="128"/>
        <v>-0.21705447000589306</v>
      </c>
    </row>
    <row r="69" spans="1:25" x14ac:dyDescent="0.45">
      <c r="A69" s="15" t="s">
        <v>15</v>
      </c>
      <c r="B69" s="54"/>
      <c r="C69" s="60">
        <f t="shared" si="109"/>
        <v>6.3725555839817538E-3</v>
      </c>
      <c r="D69" s="60">
        <f t="shared" si="109"/>
        <v>1.1236460181322849E-2</v>
      </c>
      <c r="E69" s="60">
        <f t="shared" si="109"/>
        <v>-4.62450942872632E-2</v>
      </c>
      <c r="F69" s="60">
        <f t="shared" si="109"/>
        <v>2.2453212020230318E-3</v>
      </c>
      <c r="G69" s="60">
        <f t="shared" si="110"/>
        <v>-2.4306058546101905E-3</v>
      </c>
      <c r="H69" s="60">
        <f t="shared" si="111"/>
        <v>1.3478236363593243E-3</v>
      </c>
      <c r="I69" s="60">
        <f t="shared" si="112"/>
        <v>-4.8788594582223066E-3</v>
      </c>
      <c r="J69" s="60">
        <f t="shared" si="113"/>
        <v>-1.5644096926516693E-2</v>
      </c>
      <c r="K69" s="60">
        <f t="shared" si="114"/>
        <v>-1.5422609939596099E-2</v>
      </c>
      <c r="L69" s="60">
        <f t="shared" si="115"/>
        <v>-1.9304379990513487E-2</v>
      </c>
      <c r="M69" s="60">
        <f t="shared" si="116"/>
        <v>-0.1071060701472959</v>
      </c>
      <c r="N69" s="60">
        <f t="shared" si="117"/>
        <v>-1.5269073528020316E-3</v>
      </c>
      <c r="O69" s="60">
        <f t="shared" si="118"/>
        <v>-1.2426736631133584E-2</v>
      </c>
      <c r="P69" s="60">
        <f t="shared" si="119"/>
        <v>-2.8099774082033124E-2</v>
      </c>
      <c r="Q69" s="60">
        <f t="shared" si="120"/>
        <v>-3.3779951532409536E-2</v>
      </c>
      <c r="R69" s="60">
        <f t="shared" si="121"/>
        <v>-4.7541160583931541E-3</v>
      </c>
      <c r="S69" s="60">
        <f t="shared" si="122"/>
        <v>-7.65370304176205E-3</v>
      </c>
      <c r="T69" s="60">
        <f t="shared" si="123"/>
        <v>-3.7296184703276669E-2</v>
      </c>
      <c r="U69" s="60">
        <f t="shared" si="124"/>
        <v>-4.3723531337216404E-2</v>
      </c>
      <c r="V69" s="60">
        <f t="shared" si="125"/>
        <v>-3.8909536718380489E-2</v>
      </c>
      <c r="W69" s="60">
        <f t="shared" si="126"/>
        <v>-5.3133309964007447E-2</v>
      </c>
      <c r="X69" s="60">
        <f t="shared" si="127"/>
        <v>-3.1366603074170274E-2</v>
      </c>
      <c r="Y69" s="60">
        <f t="shared" si="128"/>
        <v>-2.0358730789401092E-2</v>
      </c>
    </row>
    <row r="70" spans="1:25" x14ac:dyDescent="0.45">
      <c r="A70" s="15" t="s">
        <v>16</v>
      </c>
      <c r="B70" s="54"/>
      <c r="C70" s="60">
        <f t="shared" si="109"/>
        <v>8.4409370629911828E-2</v>
      </c>
      <c r="D70" s="60">
        <f t="shared" si="109"/>
        <v>-1.4707640285629031</v>
      </c>
      <c r="E70" s="60">
        <f t="shared" si="109"/>
        <v>-3.8596820641769867</v>
      </c>
      <c r="F70" s="60">
        <f t="shared" si="109"/>
        <v>-0.13533602087995278</v>
      </c>
      <c r="G70" s="60">
        <f t="shared" si="110"/>
        <v>0.45293583202051724</v>
      </c>
      <c r="H70" s="60">
        <f t="shared" si="111"/>
        <v>-0.13071740609591831</v>
      </c>
      <c r="I70" s="60">
        <f t="shared" si="112"/>
        <v>0.24351540945723604</v>
      </c>
      <c r="J70" s="60">
        <f t="shared" si="113"/>
        <v>-0.26594131818275313</v>
      </c>
      <c r="K70" s="60">
        <f t="shared" si="114"/>
        <v>-0.50891464220530946</v>
      </c>
      <c r="L70" s="60">
        <f t="shared" si="115"/>
        <v>1.400963052428303</v>
      </c>
      <c r="M70" s="60">
        <f t="shared" si="116"/>
        <v>-0.72457577967159992</v>
      </c>
      <c r="N70" s="60">
        <f t="shared" si="117"/>
        <v>-0.23797308212266399</v>
      </c>
      <c r="O70" s="60">
        <f t="shared" si="118"/>
        <v>-1.4781406364880672</v>
      </c>
      <c r="P70" s="60">
        <f t="shared" si="119"/>
        <v>2.5441088892425445</v>
      </c>
      <c r="Q70" s="60">
        <f t="shared" si="120"/>
        <v>1.1840707156995163</v>
      </c>
      <c r="R70" s="60">
        <f t="shared" si="121"/>
        <v>-0.48539606585597639</v>
      </c>
      <c r="S70" s="60">
        <f t="shared" si="122"/>
        <v>-1.8816442497148071</v>
      </c>
      <c r="T70" s="60">
        <f t="shared" si="123"/>
        <v>2.0424513638912556</v>
      </c>
      <c r="U70" s="60">
        <f t="shared" si="124"/>
        <v>0.85224323690723569</v>
      </c>
      <c r="V70" s="60">
        <f t="shared" si="125"/>
        <v>0.43194589777596337</v>
      </c>
      <c r="W70" s="60">
        <f t="shared" si="126"/>
        <v>0.41199477651175309</v>
      </c>
      <c r="X70" s="60">
        <f t="shared" si="127"/>
        <v>0.3901943700602577</v>
      </c>
      <c r="Y70" s="60">
        <f t="shared" si="128"/>
        <v>0.18831104719387537</v>
      </c>
    </row>
    <row r="71" spans="1:25" x14ac:dyDescent="0.45">
      <c r="A71" s="15" t="s">
        <v>17</v>
      </c>
      <c r="B71" s="54"/>
      <c r="C71" s="60">
        <f t="shared" si="109"/>
        <v>-7.361491482724003E-2</v>
      </c>
      <c r="D71" s="60">
        <f t="shared" si="109"/>
        <v>0.12830970024369814</v>
      </c>
      <c r="E71" s="60">
        <f t="shared" si="109"/>
        <v>-0.15771328099858073</v>
      </c>
      <c r="F71" s="60">
        <f t="shared" si="109"/>
        <v>3.6508676179813682E-2</v>
      </c>
      <c r="G71" s="60">
        <f t="shared" si="110"/>
        <v>4.3155560993231035E-3</v>
      </c>
      <c r="H71" s="60">
        <f t="shared" si="111"/>
        <v>1.8751107679852996E-2</v>
      </c>
      <c r="I71" s="60">
        <f t="shared" si="112"/>
        <v>1.1885964827405893E-2</v>
      </c>
      <c r="J71" s="60">
        <f t="shared" si="113"/>
        <v>8.280294392294163E-3</v>
      </c>
      <c r="K71" s="60">
        <f t="shared" si="114"/>
        <v>2.9426874247803214E-2</v>
      </c>
      <c r="L71" s="60">
        <f t="shared" si="115"/>
        <v>-0.11408242581236239</v>
      </c>
      <c r="M71" s="60">
        <f t="shared" si="116"/>
        <v>-3.2070316460690362E-2</v>
      </c>
      <c r="N71" s="60">
        <f t="shared" si="117"/>
        <v>1.332675882831591E-3</v>
      </c>
      <c r="O71" s="60">
        <f t="shared" si="118"/>
        <v>3.798467536914063E-2</v>
      </c>
      <c r="P71" s="60">
        <f t="shared" si="119"/>
        <v>6.8915887670552678E-2</v>
      </c>
      <c r="Q71" s="60">
        <f t="shared" si="120"/>
        <v>7.189415815204403E-2</v>
      </c>
      <c r="R71" s="60">
        <f t="shared" si="121"/>
        <v>0.12327710665218383</v>
      </c>
      <c r="S71" s="60">
        <f t="shared" si="122"/>
        <v>-4.5038847689276351E-2</v>
      </c>
      <c r="T71" s="60">
        <f t="shared" si="123"/>
        <v>-2.2735974845349394E-2</v>
      </c>
      <c r="U71" s="60">
        <f t="shared" si="124"/>
        <v>-1.3188286975146957E-2</v>
      </c>
      <c r="V71" s="60">
        <f t="shared" si="125"/>
        <v>-6.5382159468119205E-3</v>
      </c>
      <c r="W71" s="60">
        <f t="shared" si="126"/>
        <v>-0.10843567930978215</v>
      </c>
      <c r="X71" s="60">
        <f t="shared" si="127"/>
        <v>-0.17064250851436247</v>
      </c>
      <c r="Y71" s="60">
        <f t="shared" si="128"/>
        <v>-9.8858658783614883E-3</v>
      </c>
    </row>
    <row r="72" spans="1:25" x14ac:dyDescent="0.45">
      <c r="A72" s="15" t="s">
        <v>18</v>
      </c>
      <c r="B72" s="54"/>
      <c r="C72" s="60">
        <f t="shared" si="109"/>
        <v>4.7633612825487948E-2</v>
      </c>
      <c r="D72" s="60">
        <f t="shared" si="109"/>
        <v>1.6129312984987099E-2</v>
      </c>
      <c r="E72" s="60">
        <f t="shared" si="109"/>
        <v>4.1544208796549409E-2</v>
      </c>
      <c r="F72" s="60">
        <f t="shared" si="109"/>
        <v>1.9168522967487167E-2</v>
      </c>
      <c r="G72" s="60">
        <f t="shared" si="110"/>
        <v>4.3591636644762399E-2</v>
      </c>
      <c r="H72" s="60">
        <f t="shared" si="111"/>
        <v>2.9031119281548445E-3</v>
      </c>
      <c r="I72" s="60">
        <f t="shared" si="112"/>
        <v>5.8738944734755716E-2</v>
      </c>
      <c r="J72" s="60">
        <f t="shared" si="113"/>
        <v>1.4580902933246431E-2</v>
      </c>
      <c r="K72" s="60">
        <f t="shared" si="114"/>
        <v>3.0373007452251466E-2</v>
      </c>
      <c r="L72" s="60">
        <f t="shared" si="115"/>
        <v>5.2639980710538214E-2</v>
      </c>
      <c r="M72" s="60">
        <f t="shared" si="116"/>
        <v>-6.3261509712757236E-2</v>
      </c>
      <c r="N72" s="60">
        <f t="shared" si="117"/>
        <v>7.2212575231987985E-2</v>
      </c>
      <c r="O72" s="60">
        <f t="shared" si="118"/>
        <v>2.4735395860085996E-2</v>
      </c>
      <c r="P72" s="60">
        <f t="shared" si="119"/>
        <v>-8.1537481937622336E-2</v>
      </c>
      <c r="Q72" s="60">
        <f t="shared" si="120"/>
        <v>-2.3468454314740983E-2</v>
      </c>
      <c r="R72" s="60">
        <f t="shared" si="121"/>
        <v>7.7762979318630521E-2</v>
      </c>
      <c r="S72" s="60">
        <f t="shared" si="122"/>
        <v>3.0885076260138478E-2</v>
      </c>
      <c r="T72" s="60">
        <f t="shared" si="123"/>
        <v>-1.6799004251903948E-3</v>
      </c>
      <c r="U72" s="60">
        <f t="shared" si="124"/>
        <v>7.2784687735019116E-3</v>
      </c>
      <c r="V72" s="60">
        <f t="shared" si="125"/>
        <v>2.5689072068890706E-2</v>
      </c>
      <c r="W72" s="60">
        <f t="shared" si="126"/>
        <v>-8.9162029011465638E-2</v>
      </c>
      <c r="X72" s="60">
        <f t="shared" si="127"/>
        <v>9.5486152589339124E-3</v>
      </c>
      <c r="Y72" s="60">
        <f t="shared" si="128"/>
        <v>0.1378296986648504</v>
      </c>
    </row>
    <row r="73" spans="1:25" x14ac:dyDescent="0.45">
      <c r="A73" s="15" t="s">
        <v>19</v>
      </c>
      <c r="B73" s="54"/>
      <c r="C73" s="60">
        <f t="shared" si="109"/>
        <v>-0.11005875270657794</v>
      </c>
      <c r="D73" s="60">
        <f t="shared" si="109"/>
        <v>-2.7841164776505778E-2</v>
      </c>
      <c r="E73" s="60">
        <f t="shared" si="109"/>
        <v>-0.20586992149637851</v>
      </c>
      <c r="F73" s="60">
        <f t="shared" si="109"/>
        <v>-2.1655110684154377E-2</v>
      </c>
      <c r="G73" s="60">
        <f t="shared" si="110"/>
        <v>4.9153290214507539E-2</v>
      </c>
      <c r="H73" s="60">
        <f t="shared" si="111"/>
        <v>-2.1509455966361113E-2</v>
      </c>
      <c r="I73" s="60">
        <f t="shared" si="112"/>
        <v>-6.4065836815849764E-2</v>
      </c>
      <c r="J73" s="60">
        <f t="shared" si="113"/>
        <v>-1.5557364015401642E-2</v>
      </c>
      <c r="K73" s="60">
        <f t="shared" si="114"/>
        <v>5.268460054122448E-2</v>
      </c>
      <c r="L73" s="60">
        <f t="shared" si="115"/>
        <v>-0.11268939020803437</v>
      </c>
      <c r="M73" s="60">
        <f t="shared" si="116"/>
        <v>1.5701414224631449E-3</v>
      </c>
      <c r="N73" s="60">
        <f t="shared" si="117"/>
        <v>0.10110672088476003</v>
      </c>
      <c r="O73" s="60">
        <f t="shared" si="118"/>
        <v>7.7038336137456698E-2</v>
      </c>
      <c r="P73" s="60">
        <f t="shared" si="119"/>
        <v>3.547519455678616E-2</v>
      </c>
      <c r="Q73" s="60">
        <f t="shared" si="120"/>
        <v>4.8683954816105546E-2</v>
      </c>
      <c r="R73" s="60">
        <f t="shared" si="121"/>
        <v>-1.3218704378398671E-2</v>
      </c>
      <c r="S73" s="60">
        <f t="shared" si="122"/>
        <v>-0.12578185841422906</v>
      </c>
      <c r="T73" s="60">
        <f t="shared" si="123"/>
        <v>-0.13867970840676902</v>
      </c>
      <c r="U73" s="60">
        <f t="shared" si="124"/>
        <v>-0.15213067344187947</v>
      </c>
      <c r="V73" s="60">
        <f t="shared" si="125"/>
        <v>0.10434507930346215</v>
      </c>
      <c r="W73" s="60">
        <f t="shared" si="126"/>
        <v>-0.34775881588510993</v>
      </c>
      <c r="X73" s="60">
        <f t="shared" si="127"/>
        <v>-0.47843292456880104</v>
      </c>
      <c r="Y73" s="60">
        <f t="shared" si="128"/>
        <v>6.1698669994458832E-4</v>
      </c>
    </row>
    <row r="74" spans="1:25" x14ac:dyDescent="0.45">
      <c r="A74" s="15" t="s">
        <v>20</v>
      </c>
      <c r="B74" s="54"/>
      <c r="C74" s="60">
        <f t="shared" si="109"/>
        <v>-0.21538470471065818</v>
      </c>
      <c r="D74" s="60">
        <f t="shared" si="109"/>
        <v>-5.9710915626929872E-2</v>
      </c>
      <c r="E74" s="60">
        <f t="shared" si="109"/>
        <v>0.86072115595860055</v>
      </c>
      <c r="F74" s="60">
        <f t="shared" si="109"/>
        <v>-0.15252217218591635</v>
      </c>
      <c r="G74" s="60">
        <f t="shared" si="110"/>
        <v>-7.6419884440991681E-2</v>
      </c>
      <c r="H74" s="60">
        <f t="shared" si="111"/>
        <v>0.16505764323477767</v>
      </c>
      <c r="I74" s="60">
        <f t="shared" si="112"/>
        <v>-0.21760930806821377</v>
      </c>
      <c r="J74" s="60">
        <f t="shared" si="113"/>
        <v>0.31643075758297545</v>
      </c>
      <c r="K74" s="60">
        <f t="shared" si="114"/>
        <v>0.91655919834668009</v>
      </c>
      <c r="L74" s="60">
        <f t="shared" si="115"/>
        <v>0.3513045008447695</v>
      </c>
      <c r="M74" s="60">
        <f t="shared" si="116"/>
        <v>7.6760815447586284E-2</v>
      </c>
      <c r="N74" s="60">
        <f t="shared" si="117"/>
        <v>-0.14403585828201926</v>
      </c>
      <c r="O74" s="60">
        <f t="shared" si="118"/>
        <v>0.3789449882642959</v>
      </c>
      <c r="P74" s="60">
        <f t="shared" si="119"/>
        <v>-0.14377632353442482</v>
      </c>
      <c r="Q74" s="60">
        <f t="shared" si="120"/>
        <v>0.45076052521339149</v>
      </c>
      <c r="R74" s="60">
        <f t="shared" si="121"/>
        <v>4.9091400773002336E-2</v>
      </c>
      <c r="S74" s="60">
        <f t="shared" si="122"/>
        <v>5.407688160615054E-2</v>
      </c>
      <c r="T74" s="60">
        <f t="shared" si="123"/>
        <v>-4.1274696211751838E-2</v>
      </c>
      <c r="U74" s="60">
        <f t="shared" si="124"/>
        <v>0.25294178804003664</v>
      </c>
      <c r="V74" s="60">
        <f t="shared" si="125"/>
        <v>3.1378271162110449E-2</v>
      </c>
      <c r="W74" s="60">
        <f t="shared" si="126"/>
        <v>-0.1668316178206406</v>
      </c>
      <c r="X74" s="60">
        <f t="shared" si="127"/>
        <v>2.7390866873415742E-3</v>
      </c>
      <c r="Y74" s="60">
        <f t="shared" si="128"/>
        <v>5.299192723267443E-2</v>
      </c>
    </row>
    <row r="75" spans="1:25" x14ac:dyDescent="0.45">
      <c r="A75" s="15" t="s">
        <v>21</v>
      </c>
      <c r="B75" s="54"/>
      <c r="C75" s="60">
        <f t="shared" si="109"/>
        <v>-9.8825659155323153E-2</v>
      </c>
      <c r="D75" s="60">
        <f t="shared" si="109"/>
        <v>3.5409880725336684E-3</v>
      </c>
      <c r="E75" s="60">
        <f t="shared" si="109"/>
        <v>-0.3252481304142566</v>
      </c>
      <c r="F75" s="60">
        <f t="shared" si="109"/>
        <v>6.5906474178199836E-2</v>
      </c>
      <c r="G75" s="60">
        <f t="shared" si="110"/>
        <v>-0.11757138880484519</v>
      </c>
      <c r="H75" s="60">
        <f t="shared" si="111"/>
        <v>-0.16223849089590747</v>
      </c>
      <c r="I75" s="60">
        <f t="shared" si="112"/>
        <v>1.1599747605950088</v>
      </c>
      <c r="J75" s="60">
        <f t="shared" si="113"/>
        <v>-0.44390302431107342</v>
      </c>
      <c r="K75" s="60">
        <f t="shared" si="114"/>
        <v>-4.8247521116717373E-2</v>
      </c>
      <c r="L75" s="60">
        <f t="shared" si="115"/>
        <v>-0.38259537672035637</v>
      </c>
      <c r="M75" s="60">
        <f t="shared" si="116"/>
        <v>3.9930838534120827E-2</v>
      </c>
      <c r="N75" s="60">
        <f t="shared" si="117"/>
        <v>-0.15385146742804767</v>
      </c>
      <c r="O75" s="60">
        <f t="shared" si="118"/>
        <v>-0.1642529872614632</v>
      </c>
      <c r="P75" s="60">
        <f t="shared" si="119"/>
        <v>-0.12316336764605884</v>
      </c>
      <c r="Q75" s="60">
        <f t="shared" si="120"/>
        <v>-0.65713127733561594</v>
      </c>
      <c r="R75" s="60">
        <f t="shared" si="121"/>
        <v>-2.0171615205774014</v>
      </c>
      <c r="S75" s="60">
        <f t="shared" si="122"/>
        <v>4.4493725869897203</v>
      </c>
      <c r="T75" s="60">
        <f t="shared" si="123"/>
        <v>0.87445223497671876</v>
      </c>
      <c r="U75" s="60">
        <f t="shared" si="124"/>
        <v>0.5969688253706591</v>
      </c>
      <c r="V75" s="60">
        <f t="shared" si="125"/>
        <v>0.2064591289152411</v>
      </c>
      <c r="W75" s="60">
        <f t="shared" si="126"/>
        <v>0.37919454986403855</v>
      </c>
      <c r="X75" s="60">
        <f t="shared" si="127"/>
        <v>0.27223717118096191</v>
      </c>
      <c r="Y75" s="60">
        <f t="shared" si="128"/>
        <v>-1</v>
      </c>
    </row>
    <row r="76" spans="1:25" x14ac:dyDescent="0.45">
      <c r="A76" s="15" t="s">
        <v>22</v>
      </c>
      <c r="B76" s="54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</row>
    <row r="77" spans="1:25" x14ac:dyDescent="0.45">
      <c r="A77" s="15" t="s">
        <v>23</v>
      </c>
      <c r="B77" s="54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</row>
    <row r="78" spans="1:25" x14ac:dyDescent="0.45">
      <c r="A78" s="22" t="s">
        <v>24</v>
      </c>
      <c r="B78" s="55"/>
      <c r="C78" s="61">
        <f t="shared" ref="C78:F79" si="129">(C18/B18)-1</f>
        <v>2.8064423932705695E-2</v>
      </c>
      <c r="D78" s="61">
        <f t="shared" si="129"/>
        <v>3.553345897480531E-2</v>
      </c>
      <c r="E78" s="61">
        <f t="shared" si="129"/>
        <v>5.6784483599163549E-2</v>
      </c>
      <c r="F78" s="61">
        <f t="shared" si="129"/>
        <v>-1.1714244991448464E-2</v>
      </c>
      <c r="G78" s="61">
        <f t="shared" ref="G78:G79" si="130">(G18/F18)-1</f>
        <v>-8.0450491382169087E-3</v>
      </c>
      <c r="H78" s="61">
        <f t="shared" ref="H78:H79" si="131">(H18/G18)-1</f>
        <v>-3.5255526195108966E-2</v>
      </c>
      <c r="I78" s="61">
        <f t="shared" ref="I78:I79" si="132">(I18/H18)-1</f>
        <v>-2.0215706957574908E-2</v>
      </c>
      <c r="J78" s="61">
        <f t="shared" ref="J78:J79" si="133">(J18/I18)-1</f>
        <v>-2.2331297400473127E-2</v>
      </c>
      <c r="K78" s="61">
        <f t="shared" ref="K78:K79" si="134">(K18/J18)-1</f>
        <v>-1.9270511233557053E-2</v>
      </c>
      <c r="L78" s="61">
        <f t="shared" ref="L78:L79" si="135">(L18/K18)-1</f>
        <v>-5.097672275838927E-2</v>
      </c>
      <c r="M78" s="61">
        <f t="shared" ref="M78:M79" si="136">(M18/L18)-1</f>
        <v>-4.5891022665174974E-2</v>
      </c>
      <c r="N78" s="61">
        <f t="shared" ref="N78:N79" si="137">(N18/M18)-1</f>
        <v>1.5791505534164862E-2</v>
      </c>
      <c r="O78" s="61">
        <f t="shared" ref="O78:O79" si="138">(O18/N18)-1</f>
        <v>-9.8985447201423993E-3</v>
      </c>
      <c r="P78" s="61">
        <f t="shared" ref="P78:P79" si="139">(P18/O18)-1</f>
        <v>-4.0381295721634292E-3</v>
      </c>
      <c r="Q78" s="61">
        <f t="shared" ref="Q78:Q79" si="140">(Q18/P18)-1</f>
        <v>1.09108641567639E-2</v>
      </c>
      <c r="R78" s="61">
        <f t="shared" ref="R78:R79" si="141">(R18/Q18)-1</f>
        <v>-0.11045194281884507</v>
      </c>
      <c r="S78" s="61">
        <f t="shared" ref="S78:S79" si="142">(S18/R18)-1</f>
        <v>-0.10378931466250974</v>
      </c>
      <c r="T78" s="61">
        <f t="shared" ref="T78:T79" si="143">(T18/S18)-1</f>
        <v>-8.5277598652316544E-2</v>
      </c>
      <c r="U78" s="61">
        <f t="shared" ref="U78:U79" si="144">(U18/T18)-1</f>
        <v>-0.12888136270060879</v>
      </c>
      <c r="V78" s="61">
        <f t="shared" ref="V78:V79" si="145">(V18/U18)-1</f>
        <v>-0.12668425919541271</v>
      </c>
      <c r="W78" s="61">
        <f t="shared" ref="W78:W79" si="146">(W18/V18)-1</f>
        <v>-0.1207436072908511</v>
      </c>
      <c r="X78" s="61">
        <f t="shared" ref="X78:X79" si="147">(X18/W18)-1</f>
        <v>-0.23201823401783339</v>
      </c>
      <c r="Y78" s="61">
        <f t="shared" ref="Y78:Y79" si="148">(Y18/X18)-1</f>
        <v>-0.231735800691109</v>
      </c>
    </row>
    <row r="79" spans="1:25" ht="16.5" x14ac:dyDescent="0.5">
      <c r="A79" s="23" t="s">
        <v>25</v>
      </c>
      <c r="B79" s="56"/>
      <c r="C79" s="62">
        <f t="shared" si="129"/>
        <v>2.1476446534367977E-2</v>
      </c>
      <c r="D79" s="62">
        <f t="shared" si="129"/>
        <v>2.2758129336405641E-2</v>
      </c>
      <c r="E79" s="62">
        <f t="shared" si="129"/>
        <v>6.8040361593373344E-3</v>
      </c>
      <c r="F79" s="62">
        <f t="shared" si="129"/>
        <v>4.5206499646304188E-3</v>
      </c>
      <c r="G79" s="62">
        <f t="shared" si="130"/>
        <v>-6.2109733725723704E-4</v>
      </c>
      <c r="H79" s="62">
        <f t="shared" si="131"/>
        <v>-8.9690148911576451E-3</v>
      </c>
      <c r="I79" s="62">
        <f t="shared" si="132"/>
        <v>-1.1878253968439778E-2</v>
      </c>
      <c r="J79" s="62">
        <f t="shared" si="133"/>
        <v>-1.8327211556472434E-2</v>
      </c>
      <c r="K79" s="62">
        <f t="shared" si="134"/>
        <v>-2.669193851135232E-2</v>
      </c>
      <c r="L79" s="62">
        <f t="shared" si="135"/>
        <v>-2.2669126439780807E-2</v>
      </c>
      <c r="M79" s="62">
        <f t="shared" si="136"/>
        <v>-3.2019523002894679E-2</v>
      </c>
      <c r="N79" s="62">
        <f t="shared" si="137"/>
        <v>-1.5816043390289636E-2</v>
      </c>
      <c r="O79" s="62">
        <f t="shared" si="138"/>
        <v>-2.6879314528419518E-2</v>
      </c>
      <c r="P79" s="62">
        <f t="shared" si="139"/>
        <v>-3.7738829574306521E-2</v>
      </c>
      <c r="Q79" s="62">
        <f t="shared" si="140"/>
        <v>-4.0185852291582891E-2</v>
      </c>
      <c r="R79" s="62">
        <f t="shared" si="141"/>
        <v>-5.011749877098548E-2</v>
      </c>
      <c r="S79" s="62">
        <f t="shared" si="142"/>
        <v>-3.6557511615721072E-2</v>
      </c>
      <c r="T79" s="62">
        <f t="shared" si="143"/>
        <v>-3.3072770199391588E-2</v>
      </c>
      <c r="U79" s="62">
        <f t="shared" si="144"/>
        <v>-3.4965828282877198E-2</v>
      </c>
      <c r="V79" s="62">
        <f t="shared" si="145"/>
        <v>-3.5235346492031083E-2</v>
      </c>
      <c r="W79" s="62">
        <f t="shared" si="146"/>
        <v>-3.2207363654503718E-2</v>
      </c>
      <c r="X79" s="62">
        <f t="shared" si="147"/>
        <v>-1.1586562420427104E-2</v>
      </c>
      <c r="Y79" s="62">
        <f t="shared" si="148"/>
        <v>-1.1022554187260725E-2</v>
      </c>
    </row>
    <row r="80" spans="1:25" x14ac:dyDescent="0.45">
      <c r="A80" s="15" t="s">
        <v>26</v>
      </c>
      <c r="B80" s="54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25" x14ac:dyDescent="0.45">
      <c r="A81" s="180" t="s">
        <v>100</v>
      </c>
      <c r="B81" s="54"/>
      <c r="C81" s="60">
        <f t="shared" ref="C81:F81" si="149">(C21/B21)-1</f>
        <v>3.6487105168778733E-2</v>
      </c>
      <c r="D81" s="60">
        <f t="shared" si="149"/>
        <v>8.0514078089114705E-2</v>
      </c>
      <c r="E81" s="60">
        <f t="shared" si="149"/>
        <v>9.7176432494687992E-2</v>
      </c>
      <c r="F81" s="60">
        <f t="shared" si="149"/>
        <v>-1.9724675779635992E-2</v>
      </c>
      <c r="G81" s="60">
        <f t="shared" ref="G81:G86" si="150">(G21/F21)-1</f>
        <v>-1.3785492016137324E-2</v>
      </c>
      <c r="H81" s="60">
        <f t="shared" ref="H81:H86" si="151">(H21/G21)-1</f>
        <v>5.6683297613862038E-2</v>
      </c>
      <c r="I81" s="60">
        <f t="shared" ref="I81:I86" si="152">(I21/H21)-1</f>
        <v>-1.7503366860479819E-2</v>
      </c>
      <c r="J81" s="60">
        <f t="shared" ref="J81:J86" si="153">(J21/I21)-1</f>
        <v>-2.9043232074157155E-2</v>
      </c>
      <c r="K81" s="60">
        <f t="shared" ref="K81:K86" si="154">(K21/J21)-1</f>
        <v>4.4891294632071865E-2</v>
      </c>
      <c r="L81" s="60">
        <f t="shared" ref="L81:L86" si="155">(L21/K21)-1</f>
        <v>-2.3813239890065785E-2</v>
      </c>
      <c r="M81" s="60">
        <f t="shared" ref="M81:M86" si="156">(M21/L21)-1</f>
        <v>-3.3769494173744419E-2</v>
      </c>
      <c r="N81" s="60">
        <f t="shared" ref="N81:N86" si="157">(N21/M21)-1</f>
        <v>0.10480784344259519</v>
      </c>
      <c r="O81" s="60">
        <f t="shared" ref="O81:O86" si="158">(O21/N21)-1</f>
        <v>6.980524386285869E-2</v>
      </c>
      <c r="P81" s="60">
        <f t="shared" ref="P81:P86" si="159">(P21/O21)-1</f>
        <v>8.0045345480649566E-2</v>
      </c>
      <c r="Q81" s="60">
        <f t="shared" ref="Q81:Q86" si="160">(Q21/P21)-1</f>
        <v>8.9023105458668983E-2</v>
      </c>
      <c r="R81" s="60">
        <f t="shared" ref="R81:R86" si="161">(R21/Q21)-1</f>
        <v>-7.5257209963934257E-2</v>
      </c>
      <c r="S81" s="60">
        <f t="shared" ref="S81:S86" si="162">(S21/R21)-1</f>
        <v>0.28277919555318953</v>
      </c>
      <c r="T81" s="60">
        <f t="shared" ref="T81:T86" si="163">(T21/S21)-1</f>
        <v>-0.1713607093744165</v>
      </c>
      <c r="U81" s="60">
        <f t="shared" ref="U81:U86" si="164">(U21/T21)-1</f>
        <v>-0.31257415503056363</v>
      </c>
      <c r="V81" s="60">
        <f t="shared" ref="V81:V86" si="165">(V21/U21)-1</f>
        <v>-0.43404733203185764</v>
      </c>
      <c r="W81" s="60">
        <f t="shared" ref="W81:W86" si="166">(W21/V21)-1</f>
        <v>-0.75999696999156363</v>
      </c>
      <c r="X81" s="60">
        <f t="shared" ref="X81:X86" si="167">(X21/W21)-1</f>
        <v>-4.8650276509900667</v>
      </c>
      <c r="Y81" s="60">
        <f t="shared" ref="Y81:Y86" si="168">(Y21/X21)-1</f>
        <v>0.94906826024067192</v>
      </c>
    </row>
    <row r="82" spans="1:25" x14ac:dyDescent="0.45">
      <c r="A82" s="15" t="s">
        <v>27</v>
      </c>
      <c r="B82" s="54"/>
      <c r="C82" s="60">
        <f t="shared" ref="C82:C86" si="169">(C22/B22)-1</f>
        <v>1.2086391163455668E-2</v>
      </c>
      <c r="D82" s="60">
        <f t="shared" ref="D82:F82" si="170">(D22/C22)-1</f>
        <v>5.8074537785055558E-3</v>
      </c>
      <c r="E82" s="60">
        <f t="shared" si="170"/>
        <v>-0.20964595349189574</v>
      </c>
      <c r="F82" s="60">
        <f t="shared" si="170"/>
        <v>0.15171905251421713</v>
      </c>
      <c r="G82" s="60">
        <f t="shared" si="150"/>
        <v>6.0488877193487278E-2</v>
      </c>
      <c r="H82" s="60">
        <f t="shared" si="151"/>
        <v>9.3387880740082752E-2</v>
      </c>
      <c r="I82" s="60">
        <f t="shared" si="152"/>
        <v>6.3238344306134842E-2</v>
      </c>
      <c r="J82" s="60">
        <f t="shared" si="153"/>
        <v>1.5017304908851115E-2</v>
      </c>
      <c r="K82" s="60">
        <f t="shared" si="154"/>
        <v>7.677638014818422E-2</v>
      </c>
      <c r="L82" s="60">
        <f t="shared" si="155"/>
        <v>0.14967841646060975</v>
      </c>
      <c r="M82" s="60">
        <f t="shared" si="156"/>
        <v>5.9571392321157157E-2</v>
      </c>
      <c r="N82" s="60">
        <f t="shared" si="157"/>
        <v>2.7525038313296335E-2</v>
      </c>
      <c r="O82" s="60">
        <f t="shared" si="158"/>
        <v>4.2329346396187795E-2</v>
      </c>
      <c r="P82" s="60">
        <f t="shared" si="159"/>
        <v>1.2406465169142011E-2</v>
      </c>
      <c r="Q82" s="60">
        <f t="shared" si="160"/>
        <v>-1.7844638349343578E-2</v>
      </c>
      <c r="R82" s="60">
        <f t="shared" si="161"/>
        <v>0.1702048893510093</v>
      </c>
      <c r="S82" s="60">
        <f t="shared" si="162"/>
        <v>0.19222985309657381</v>
      </c>
      <c r="T82" s="60">
        <f t="shared" si="163"/>
        <v>-5.965573962287396E-2</v>
      </c>
      <c r="U82" s="60">
        <f t="shared" si="164"/>
        <v>-8.3908959735420563E-2</v>
      </c>
      <c r="V82" s="60">
        <f t="shared" si="165"/>
        <v>-0.13670838571304456</v>
      </c>
      <c r="W82" s="60">
        <f t="shared" si="166"/>
        <v>-0.21314668354382194</v>
      </c>
      <c r="X82" s="60">
        <f t="shared" si="167"/>
        <v>-0.1518849158065837</v>
      </c>
      <c r="Y82" s="60">
        <f t="shared" si="168"/>
        <v>-0.1371437688738123</v>
      </c>
    </row>
    <row r="83" spans="1:25" x14ac:dyDescent="0.45">
      <c r="A83" s="15" t="s">
        <v>28</v>
      </c>
      <c r="B83" s="54"/>
      <c r="C83" s="60">
        <f t="shared" si="169"/>
        <v>7.6316430135499269E-2</v>
      </c>
      <c r="D83" s="60">
        <f t="shared" ref="D83:F83" si="171">(D23/C23)-1</f>
        <v>6.8908341080988755E-2</v>
      </c>
      <c r="E83" s="60">
        <f t="shared" si="171"/>
        <v>-0.10037179173569366</v>
      </c>
      <c r="F83" s="60">
        <f t="shared" si="171"/>
        <v>8.1514416455218619E-2</v>
      </c>
      <c r="G83" s="60">
        <f t="shared" si="150"/>
        <v>8.5422366677640138E-2</v>
      </c>
      <c r="H83" s="60">
        <f t="shared" si="151"/>
        <v>8.9333093818639409E-2</v>
      </c>
      <c r="I83" s="60">
        <f t="shared" si="152"/>
        <v>1.5820651935035679E-2</v>
      </c>
      <c r="J83" s="60">
        <f t="shared" si="153"/>
        <v>2.2263640895339831E-2</v>
      </c>
      <c r="K83" s="60">
        <f t="shared" si="154"/>
        <v>3.7328230825878883E-2</v>
      </c>
      <c r="L83" s="60">
        <f t="shared" si="155"/>
        <v>1.0958301826948125E-2</v>
      </c>
      <c r="M83" s="60">
        <f t="shared" si="156"/>
        <v>3.7310306464114706E-2</v>
      </c>
      <c r="N83" s="60">
        <f t="shared" si="157"/>
        <v>1.5662572659993712E-2</v>
      </c>
      <c r="O83" s="60">
        <f t="shared" si="158"/>
        <v>0.10654255587976302</v>
      </c>
      <c r="P83" s="60">
        <f t="shared" si="159"/>
        <v>5.901988134630165E-2</v>
      </c>
      <c r="Q83" s="60">
        <f t="shared" si="160"/>
        <v>4.3390820660955676E-3</v>
      </c>
      <c r="R83" s="60">
        <f t="shared" si="161"/>
        <v>2.0228850047777192E-2</v>
      </c>
      <c r="S83" s="60">
        <f t="shared" si="162"/>
        <v>4.3963927660348734E-3</v>
      </c>
      <c r="T83" s="60">
        <f t="shared" si="163"/>
        <v>5.2016048479354815E-2</v>
      </c>
      <c r="U83" s="60">
        <f t="shared" si="164"/>
        <v>8.1255884651530108E-2</v>
      </c>
      <c r="V83" s="60">
        <f t="shared" si="165"/>
        <v>2.7103185972214838E-2</v>
      </c>
      <c r="W83" s="60">
        <f t="shared" si="166"/>
        <v>-5.0144723672491454E-2</v>
      </c>
      <c r="X83" s="60">
        <f t="shared" si="167"/>
        <v>3.6618088044271468E-2</v>
      </c>
      <c r="Y83" s="60">
        <f t="shared" si="168"/>
        <v>4.3958715421767325E-2</v>
      </c>
    </row>
    <row r="84" spans="1:25" x14ac:dyDescent="0.45">
      <c r="A84" s="15" t="s">
        <v>29</v>
      </c>
      <c r="B84" s="54"/>
      <c r="C84" s="60">
        <f t="shared" si="169"/>
        <v>1.5434096924257235E-2</v>
      </c>
      <c r="D84" s="60">
        <f t="shared" ref="D84:F84" si="172">(D24/C24)-1</f>
        <v>1.0163543066394221E-2</v>
      </c>
      <c r="E84" s="60">
        <f t="shared" si="172"/>
        <v>-1.1091416315982539E-2</v>
      </c>
      <c r="F84" s="60">
        <f t="shared" si="172"/>
        <v>-2.921960871372753E-3</v>
      </c>
      <c r="G84" s="60">
        <f t="shared" si="150"/>
        <v>7.7697313616087449E-4</v>
      </c>
      <c r="H84" s="60">
        <f t="shared" si="151"/>
        <v>-1</v>
      </c>
      <c r="I84" s="60" t="e">
        <f t="shared" si="152"/>
        <v>#DIV/0!</v>
      </c>
      <c r="J84" s="60" t="e">
        <f t="shared" si="153"/>
        <v>#DIV/0!</v>
      </c>
      <c r="K84" s="60" t="e">
        <f t="shared" si="154"/>
        <v>#DIV/0!</v>
      </c>
      <c r="L84" s="60" t="e">
        <f t="shared" si="155"/>
        <v>#DIV/0!</v>
      </c>
      <c r="M84" s="60" t="e">
        <f t="shared" si="156"/>
        <v>#DIV/0!</v>
      </c>
      <c r="N84" s="60" t="e">
        <f t="shared" si="157"/>
        <v>#DIV/0!</v>
      </c>
      <c r="O84" s="60" t="e">
        <f t="shared" si="158"/>
        <v>#DIV/0!</v>
      </c>
      <c r="P84" s="60" t="e">
        <f t="shared" si="159"/>
        <v>#DIV/0!</v>
      </c>
      <c r="Q84" s="60" t="e">
        <f t="shared" si="160"/>
        <v>#DIV/0!</v>
      </c>
      <c r="R84" s="60" t="e">
        <f t="shared" si="161"/>
        <v>#DIV/0!</v>
      </c>
      <c r="S84" s="60" t="e">
        <f t="shared" si="162"/>
        <v>#DIV/0!</v>
      </c>
      <c r="T84" s="60" t="e">
        <f t="shared" si="163"/>
        <v>#DIV/0!</v>
      </c>
      <c r="U84" s="60" t="e">
        <f t="shared" si="164"/>
        <v>#DIV/0!</v>
      </c>
      <c r="V84" s="60" t="e">
        <f t="shared" si="165"/>
        <v>#DIV/0!</v>
      </c>
      <c r="W84" s="60" t="e">
        <f t="shared" si="166"/>
        <v>#DIV/0!</v>
      </c>
      <c r="X84" s="60" t="e">
        <f t="shared" si="167"/>
        <v>#DIV/0!</v>
      </c>
      <c r="Y84" s="60" t="e">
        <f t="shared" si="168"/>
        <v>#DIV/0!</v>
      </c>
    </row>
    <row r="85" spans="1:25" x14ac:dyDescent="0.45">
      <c r="A85" s="25" t="s">
        <v>30</v>
      </c>
      <c r="B85" s="57"/>
      <c r="C85" s="63">
        <f t="shared" si="169"/>
        <v>2.8064423932705251E-2</v>
      </c>
      <c r="D85" s="63">
        <f t="shared" ref="D85:F85" si="173">(D25/C25)-1</f>
        <v>3.5533458974806642E-2</v>
      </c>
      <c r="E85" s="63">
        <f t="shared" si="173"/>
        <v>5.6784483599163993E-2</v>
      </c>
      <c r="F85" s="63">
        <f t="shared" si="173"/>
        <v>-1.171424499144913E-2</v>
      </c>
      <c r="G85" s="63">
        <f t="shared" si="150"/>
        <v>-8.0450491382163536E-3</v>
      </c>
      <c r="H85" s="63">
        <f t="shared" si="151"/>
        <v>-3.5255526195109521E-2</v>
      </c>
      <c r="I85" s="63">
        <f t="shared" si="152"/>
        <v>-2.0215706957574131E-2</v>
      </c>
      <c r="J85" s="63">
        <f t="shared" si="153"/>
        <v>-2.2331297400473349E-2</v>
      </c>
      <c r="K85" s="63">
        <f t="shared" si="154"/>
        <v>-0.11197338255484612</v>
      </c>
      <c r="L85" s="63">
        <f t="shared" si="155"/>
        <v>-4.3118702394760677E-2</v>
      </c>
      <c r="M85" s="63">
        <f t="shared" si="156"/>
        <v>-4.6099480821379935E-2</v>
      </c>
      <c r="N85" s="63">
        <f t="shared" si="157"/>
        <v>3.6505428619160174E-3</v>
      </c>
      <c r="O85" s="63">
        <f t="shared" si="158"/>
        <v>-1.6573083456678295E-2</v>
      </c>
      <c r="P85" s="63">
        <f t="shared" si="159"/>
        <v>-1.6844409286267847E-2</v>
      </c>
      <c r="Q85" s="63">
        <f t="shared" si="160"/>
        <v>-7.4319327833467508E-3</v>
      </c>
      <c r="R85" s="63">
        <f t="shared" si="161"/>
        <v>-9.6810284365446031E-2</v>
      </c>
      <c r="S85" s="63">
        <f t="shared" si="162"/>
        <v>1.6646992358435142E-2</v>
      </c>
      <c r="T85" s="63">
        <f t="shared" si="163"/>
        <v>-8.5277598936058463E-2</v>
      </c>
      <c r="U85" s="63">
        <f t="shared" si="164"/>
        <v>-0.12888136274058715</v>
      </c>
      <c r="V85" s="63">
        <f t="shared" si="165"/>
        <v>-0.12668425852834797</v>
      </c>
      <c r="W85" s="63">
        <f t="shared" si="166"/>
        <v>-0.12074360805710338</v>
      </c>
      <c r="X85" s="63">
        <f t="shared" si="167"/>
        <v>-0.23201823273422251</v>
      </c>
      <c r="Y85" s="63">
        <f t="shared" si="168"/>
        <v>-0.23173580161892071</v>
      </c>
    </row>
    <row r="86" spans="1:25" x14ac:dyDescent="0.45">
      <c r="A86" s="29" t="s">
        <v>31</v>
      </c>
      <c r="B86" s="58"/>
      <c r="C86" s="64" t="e">
        <f t="shared" si="169"/>
        <v>#DIV/0!</v>
      </c>
      <c r="D86" s="64" t="e">
        <f t="shared" ref="D86:F86" si="174">(D26/C26)-1</f>
        <v>#DIV/0!</v>
      </c>
      <c r="E86" s="64" t="e">
        <f t="shared" si="174"/>
        <v>#DIV/0!</v>
      </c>
      <c r="F86" s="64" t="e">
        <f t="shared" si="174"/>
        <v>#DIV/0!</v>
      </c>
      <c r="G86" s="64" t="e">
        <f t="shared" si="150"/>
        <v>#DIV/0!</v>
      </c>
      <c r="H86" s="64" t="e">
        <f t="shared" si="151"/>
        <v>#DIV/0!</v>
      </c>
      <c r="I86" s="64" t="e">
        <f t="shared" si="152"/>
        <v>#DIV/0!</v>
      </c>
      <c r="J86" s="64" t="e">
        <f t="shared" si="153"/>
        <v>#DIV/0!</v>
      </c>
      <c r="K86" s="64" t="e">
        <f t="shared" si="154"/>
        <v>#DIV/0!</v>
      </c>
      <c r="L86" s="64" t="e">
        <f t="shared" si="155"/>
        <v>#DIV/0!</v>
      </c>
      <c r="M86" s="64" t="e">
        <f t="shared" si="156"/>
        <v>#DIV/0!</v>
      </c>
      <c r="N86" s="64" t="e">
        <f t="shared" si="157"/>
        <v>#DIV/0!</v>
      </c>
      <c r="O86" s="64" t="e">
        <f t="shared" si="158"/>
        <v>#DIV/0!</v>
      </c>
      <c r="P86" s="64" t="e">
        <f t="shared" si="159"/>
        <v>#DIV/0!</v>
      </c>
      <c r="Q86" s="64" t="e">
        <f t="shared" si="160"/>
        <v>#DIV/0!</v>
      </c>
      <c r="R86" s="64" t="e">
        <f t="shared" si="161"/>
        <v>#DIV/0!</v>
      </c>
      <c r="S86" s="64" t="e">
        <f t="shared" si="162"/>
        <v>#DIV/0!</v>
      </c>
      <c r="T86" s="64" t="e">
        <f t="shared" si="163"/>
        <v>#DIV/0!</v>
      </c>
      <c r="U86" s="64" t="e">
        <f t="shared" si="164"/>
        <v>#DIV/0!</v>
      </c>
      <c r="V86" s="64" t="e">
        <f t="shared" si="165"/>
        <v>#DIV/0!</v>
      </c>
      <c r="W86" s="64" t="e">
        <f t="shared" si="166"/>
        <v>#DIV/0!</v>
      </c>
      <c r="X86" s="64" t="e">
        <f t="shared" si="167"/>
        <v>#DIV/0!</v>
      </c>
      <c r="Y86" s="64" t="e">
        <f t="shared" si="168"/>
        <v>#DIV/0!</v>
      </c>
    </row>
    <row r="87" spans="1:25" x14ac:dyDescent="0.45">
      <c r="A87" s="33" t="s">
        <v>32</v>
      </c>
    </row>
    <row r="88" spans="1:25" x14ac:dyDescent="0.45">
      <c r="A88" s="33" t="s">
        <v>33</v>
      </c>
    </row>
  </sheetData>
  <mergeCells count="3">
    <mergeCell ref="B1:M1"/>
    <mergeCell ref="B31:M31"/>
    <mergeCell ref="B61:M61"/>
  </mergeCells>
  <phoneticPr fontId="3" type="noConversion"/>
  <hyperlinks>
    <hyperlink ref="A6" location="Data!A31" display="Data!A31" xr:uid="{00000000-0004-0000-0E00-000000000000}"/>
    <hyperlink ref="A36" location="Data!A31" display="Data!A31" xr:uid="{00000000-0004-0000-0E00-000001000000}"/>
    <hyperlink ref="A66" location="Data!A31" display="Data!A31" xr:uid="{00000000-0004-0000-0E00-000002000000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9">
    <tabColor indexed="24"/>
  </sheetPr>
  <dimension ref="A1:AI23"/>
  <sheetViews>
    <sheetView workbookViewId="0">
      <pane xSplit="1" ySplit="2" topLeftCell="V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53125" defaultRowHeight="15.5" x14ac:dyDescent="0.45"/>
  <cols>
    <col min="1" max="1" width="40" style="9" customWidth="1"/>
    <col min="2" max="2" width="14.7265625" style="39" customWidth="1"/>
    <col min="3" max="14" width="14.7265625" style="9" customWidth="1"/>
    <col min="15" max="15" width="12.453125" style="9" customWidth="1"/>
    <col min="16" max="18" width="12.81640625" style="9" bestFit="1" customWidth="1"/>
    <col min="19" max="25" width="12.81640625" style="9" customWidth="1"/>
    <col min="26" max="26" width="3.26953125" style="9" customWidth="1"/>
    <col min="27" max="30" width="12.81640625" style="9" bestFit="1" customWidth="1"/>
    <col min="31" max="32" width="12.81640625" style="9" customWidth="1"/>
    <col min="33" max="33" width="12.54296875" bestFit="1" customWidth="1"/>
    <col min="34" max="34" width="12.81640625" style="9" customWidth="1"/>
    <col min="35" max="35" width="12.54296875" style="9" bestFit="1" customWidth="1"/>
    <col min="36" max="16384" width="11.453125" style="9"/>
  </cols>
  <sheetData>
    <row r="1" spans="1:35" ht="39" x14ac:dyDescent="0.45">
      <c r="A1" s="8" t="s">
        <v>6</v>
      </c>
      <c r="B1" s="566" t="s">
        <v>7</v>
      </c>
      <c r="C1" s="567"/>
      <c r="D1" s="567"/>
      <c r="E1" s="567"/>
      <c r="F1" s="567"/>
      <c r="G1" s="567"/>
      <c r="H1" s="567"/>
      <c r="I1" s="567"/>
      <c r="J1" s="567"/>
      <c r="K1" s="568"/>
      <c r="L1" s="568"/>
      <c r="M1" s="568"/>
      <c r="AC1"/>
    </row>
    <row r="2" spans="1:35" s="14" customFormat="1" x14ac:dyDescent="0.45">
      <c r="A2" s="10" t="s">
        <v>8</v>
      </c>
      <c r="B2" s="11">
        <v>2000</v>
      </c>
      <c r="C2" s="11">
        <v>2001</v>
      </c>
      <c r="D2" s="11">
        <v>2002</v>
      </c>
      <c r="E2" s="11">
        <v>2003</v>
      </c>
      <c r="F2" s="12">
        <v>2004</v>
      </c>
      <c r="G2" s="12">
        <v>2005</v>
      </c>
      <c r="H2" s="12">
        <v>2006</v>
      </c>
      <c r="I2" s="12">
        <v>2007</v>
      </c>
      <c r="J2" s="13">
        <v>2008</v>
      </c>
      <c r="K2" s="12">
        <v>2009</v>
      </c>
      <c r="L2" s="12">
        <v>2010</v>
      </c>
      <c r="M2" s="13">
        <v>2011</v>
      </c>
      <c r="N2" s="13">
        <v>2012</v>
      </c>
      <c r="O2" s="13">
        <v>2013</v>
      </c>
      <c r="P2" s="13">
        <v>2014</v>
      </c>
      <c r="Q2" s="13">
        <v>2015</v>
      </c>
      <c r="R2" s="13">
        <v>2016</v>
      </c>
      <c r="S2" s="13">
        <v>2017</v>
      </c>
      <c r="T2" s="13">
        <v>2018</v>
      </c>
      <c r="U2" s="13">
        <v>2019</v>
      </c>
      <c r="V2" s="13">
        <v>2020</v>
      </c>
      <c r="W2" s="13">
        <v>2021</v>
      </c>
      <c r="X2" s="13">
        <v>2022</v>
      </c>
      <c r="Y2" s="13">
        <v>2023</v>
      </c>
      <c r="AA2" s="148">
        <f t="shared" ref="AA2:AB4" si="0">S2</f>
        <v>2017</v>
      </c>
      <c r="AB2" s="148">
        <f t="shared" si="0"/>
        <v>2018</v>
      </c>
      <c r="AC2" s="156">
        <v>2019</v>
      </c>
      <c r="AD2" s="156">
        <v>2020</v>
      </c>
      <c r="AE2" s="156">
        <v>2021</v>
      </c>
      <c r="AF2" s="156">
        <v>2022</v>
      </c>
      <c r="AG2" s="156">
        <v>2023</v>
      </c>
      <c r="AH2" s="156" t="s">
        <v>126</v>
      </c>
      <c r="AI2" s="156" t="s">
        <v>137</v>
      </c>
    </row>
    <row r="3" spans="1:35" x14ac:dyDescent="0.45">
      <c r="A3" s="15" t="s">
        <v>70</v>
      </c>
      <c r="B3" s="102">
        <f>'TransfertCompDemo_1 ok'!B3</f>
        <v>3892931622.0615029</v>
      </c>
      <c r="C3" s="102">
        <f>'TransfertCompDemo_1 ok'!C3</f>
        <v>4162843653.4617348</v>
      </c>
      <c r="D3" s="102">
        <f>'TransfertCompDemo_1 ok'!D3</f>
        <v>4341083323.4050417</v>
      </c>
      <c r="E3" s="102">
        <f>'TransfertCompDemo_1 ok'!E3</f>
        <v>5052448584.0365019</v>
      </c>
      <c r="F3" s="102">
        <f>'TransfertCompDemo_1 ok'!F3</f>
        <v>4991023616.3020096</v>
      </c>
      <c r="G3" s="102">
        <f>'TransfertCompDemo_1 ok'!G3</f>
        <v>5032351254.5375977</v>
      </c>
      <c r="H3" s="102">
        <f>'TransfertCompDemo_1 ok'!H3</f>
        <v>4879398157.6872711</v>
      </c>
      <c r="I3" s="102">
        <f>'TransfertCompDemo_1 ok'!I3</f>
        <v>4807941841.9895058</v>
      </c>
      <c r="J3" s="102">
        <f>'TransfertCompDemo_1 ok'!J3</f>
        <v>4921168027.3786478</v>
      </c>
      <c r="K3" s="102">
        <f>'TransfertCompDemo_1 ok'!K3</f>
        <v>4817627418.5370998</v>
      </c>
      <c r="L3" s="102">
        <f>'TransfertCompDemo_1 ok'!L3</f>
        <v>4870410260.297308</v>
      </c>
      <c r="M3" s="102">
        <f>'TransfertCompDemo_1 ok'!M3</f>
        <v>4611966777</v>
      </c>
      <c r="N3" s="102">
        <f>'TransfertCompDemo_1 ok'!N3</f>
        <v>4810188236.1096458</v>
      </c>
      <c r="O3" s="102">
        <f>'TransfertCompDemo_1 ok'!O3</f>
        <v>4854208693.8917522</v>
      </c>
      <c r="P3" s="102">
        <f>'TransfertCompDemo_1 ok'!P3</f>
        <v>4897850924.9212961</v>
      </c>
      <c r="Q3" s="102">
        <f>'TransfertCompDemo_1 ok'!Q3</f>
        <v>4946354376</v>
      </c>
      <c r="R3" s="102">
        <f>'TransfertCompDemo_1 ok'!R3</f>
        <v>4653582841.9545803</v>
      </c>
      <c r="S3" s="102">
        <f>'TransfertCompDemo_1 ok'!S3</f>
        <v>4540954737</v>
      </c>
      <c r="T3" s="102">
        <f>'TransfertCompDemo_1 ok'!T3</f>
        <v>4589196426</v>
      </c>
      <c r="U3" s="102">
        <f>'TransfertCompDemo_1 ok'!U3</f>
        <v>4423457270</v>
      </c>
      <c r="V3" s="102">
        <f>'TransfertCompDemo_1 ok'!V3</f>
        <v>3966313109</v>
      </c>
      <c r="W3" s="102">
        <f>'TransfertCompDemo_1 ok'!W3</f>
        <v>4143123209</v>
      </c>
      <c r="X3" s="102">
        <f>'TransfertCompDemo_1 ok'!X3</f>
        <v>4097810664</v>
      </c>
      <c r="Y3" s="102">
        <f>'TransfertCompDemo_1 ok'!Y3</f>
        <v>4073503482</v>
      </c>
      <c r="AA3" s="149">
        <f t="shared" si="0"/>
        <v>4540954737</v>
      </c>
      <c r="AB3" s="149">
        <f t="shared" si="0"/>
        <v>4589196426</v>
      </c>
      <c r="AC3" s="157">
        <f>'TransfertCompDemo_1 ok'!AC3</f>
        <v>4423457270</v>
      </c>
      <c r="AD3" s="157">
        <f>'TransfertCompDemo_1 ok'!AE3</f>
        <v>3966313109</v>
      </c>
      <c r="AE3" s="157">
        <f>'TransfertCompDemo_1 ok'!AG3</f>
        <v>4143123209</v>
      </c>
      <c r="AF3" s="157">
        <f>'TransfertCompDemo_1 ok'!AI3</f>
        <v>4097810664</v>
      </c>
      <c r="AG3" s="157">
        <f>'TransfertCompDemo_1 ok'!AK3</f>
        <v>4073503482</v>
      </c>
      <c r="AH3" s="157">
        <f>'TransfertCompDemo_1 ok'!AM3</f>
        <v>4120000000</v>
      </c>
      <c r="AI3" s="157">
        <f>'TransfertCompDemo_1 ok'!AO3</f>
        <v>3872000000</v>
      </c>
    </row>
    <row r="4" spans="1:35" ht="16.5" x14ac:dyDescent="0.5">
      <c r="A4" s="163" t="s">
        <v>10</v>
      </c>
      <c r="B4" s="164">
        <f>'TransfertCompDemo_1 ok'!B4</f>
        <v>-2175619105.2379408</v>
      </c>
      <c r="C4" s="164">
        <f>'TransfertCompDemo_1 ok'!C4</f>
        <v>-2197464472.1220412</v>
      </c>
      <c r="D4" s="164">
        <f>'TransfertCompDemo_1 ok'!D4</f>
        <v>-2244739850.1673088</v>
      </c>
      <c r="E4" s="164">
        <f>'TransfertCompDemo_1 ok'!E4</f>
        <v>-2172094743.5626774</v>
      </c>
      <c r="F4" s="164">
        <f>'TransfertCompDemo_1 ok'!F4</f>
        <v>-2185420582.014832</v>
      </c>
      <c r="G4" s="164">
        <f>'TransfertCompDemo_1 ok'!G4</f>
        <v>-2203985530.7867756</v>
      </c>
      <c r="H4" s="164">
        <f>'TransfertCompDemo_1 ok'!H4</f>
        <v>-2230463908.0503545</v>
      </c>
      <c r="I4" s="164">
        <f>'TransfertCompDemo_1 ok'!I4</f>
        <v>-2249846143.2505283</v>
      </c>
      <c r="J4" s="164">
        <f>'TransfertCompDemo_1 ok'!J4</f>
        <v>-2253775857.5862336</v>
      </c>
      <c r="K4" s="164">
        <f>'TransfertCompDemo_1 ok'!K4</f>
        <v>-2267114738.1062064</v>
      </c>
      <c r="L4" s="164">
        <f>'TransfertCompDemo_1 ok'!L4</f>
        <v>-2273984107.4291654</v>
      </c>
      <c r="M4" s="164">
        <f>'TransfertCompDemo_1 ok'!M4</f>
        <v>-2122356323</v>
      </c>
      <c r="N4" s="164">
        <f>'TransfertCompDemo_1 ok'!N4</f>
        <v>-2185424170.3407698</v>
      </c>
      <c r="O4" s="164">
        <f>'TransfertCompDemo_1 ok'!O4</f>
        <v>-2236860137.749558</v>
      </c>
      <c r="P4" s="164">
        <f>'TransfertCompDemo_1 ok'!P4</f>
        <v>-2277563749.9882131</v>
      </c>
      <c r="Q4" s="164">
        <f>'TransfertCompDemo_1 ok'!Q4</f>
        <v>-2287368039</v>
      </c>
      <c r="R4" s="164">
        <f>'TransfertCompDemo_1 ok'!R4</f>
        <v>-2390981881.081543</v>
      </c>
      <c r="S4" s="164">
        <f>'TransfertCompDemo_1 ok'!S4</f>
        <v>-2517910464</v>
      </c>
      <c r="T4" s="164">
        <f>'TransfertCompDemo_1 ok'!T4</f>
        <v>-2559937924</v>
      </c>
      <c r="U4" s="164">
        <f>'TransfertCompDemo_1 ok'!U4</f>
        <v>-2560352419</v>
      </c>
      <c r="V4" s="164">
        <f>'TransfertCompDemo_1 ok'!V4</f>
        <v>-2541185583</v>
      </c>
      <c r="W4" s="276">
        <f>'TransfertCompDemo_1 ok'!W4</f>
        <v>-2488617245</v>
      </c>
      <c r="X4" s="276">
        <f>'TransfertCompDemo_1 ok'!X4</f>
        <v>-2548294773</v>
      </c>
      <c r="Y4" s="276">
        <f>'TransfertCompDemo_1 ok'!Y4</f>
        <v>-2519039080</v>
      </c>
      <c r="Z4" s="165"/>
      <c r="AA4" s="166">
        <f t="shared" si="0"/>
        <v>-2517910464</v>
      </c>
      <c r="AB4" s="166">
        <f t="shared" si="0"/>
        <v>-2559937924</v>
      </c>
      <c r="AC4" s="167">
        <f>'TransfertCompDemo_1 ok'!AC4</f>
        <v>-2560352419</v>
      </c>
      <c r="AD4" s="167">
        <f>'TransfertCompDemo_1 ok'!AE4</f>
        <v>-2541185583</v>
      </c>
      <c r="AE4" s="167">
        <f>'TransfertCompDemo_1 ok'!AG4</f>
        <v>-2488617245</v>
      </c>
      <c r="AF4" s="167">
        <f>'TransfertCompDemo_1 ok'!AI4</f>
        <v>-2548294773</v>
      </c>
      <c r="AG4" s="167">
        <f>'TransfertCompDemo_1 ok'!AK4</f>
        <v>-2519039080</v>
      </c>
      <c r="AH4" s="167">
        <f>'TransfertCompDemo_1 ok'!AM4</f>
        <v>-2595000000</v>
      </c>
      <c r="AI4" s="167">
        <f>'TransfertCompDemo_1 ok'!AO4</f>
        <v>-2583000000</v>
      </c>
    </row>
    <row r="5" spans="1:35" ht="16.5" x14ac:dyDescent="0.5">
      <c r="A5" s="16" t="s">
        <v>35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AA5" s="150"/>
      <c r="AB5" s="150"/>
      <c r="AC5" s="158"/>
      <c r="AD5" s="158"/>
      <c r="AE5" s="158"/>
      <c r="AF5" s="158"/>
      <c r="AG5" s="158"/>
      <c r="AH5" s="158"/>
      <c r="AI5" s="158"/>
    </row>
    <row r="6" spans="1:35" x14ac:dyDescent="0.45">
      <c r="A6" s="22" t="s">
        <v>86</v>
      </c>
      <c r="B6" s="47"/>
      <c r="C6" s="47"/>
      <c r="D6" s="47"/>
      <c r="E6" s="47"/>
      <c r="F6" s="47"/>
      <c r="G6" s="47"/>
      <c r="H6" s="47"/>
      <c r="I6" s="47"/>
      <c r="J6" s="47"/>
      <c r="K6" s="36">
        <f t="shared" ref="K6:R6" si="1">K4/J4-1</f>
        <v>5.918459227022943E-3</v>
      </c>
      <c r="L6" s="36">
        <f t="shared" si="1"/>
        <v>3.030005145966852E-3</v>
      </c>
      <c r="M6" s="36">
        <f t="shared" si="1"/>
        <v>-6.6679350983058105E-2</v>
      </c>
      <c r="N6" s="36">
        <f t="shared" si="1"/>
        <v>2.9715956108455011E-2</v>
      </c>
      <c r="O6" s="36">
        <f t="shared" si="1"/>
        <v>2.353591952850409E-2</v>
      </c>
      <c r="P6" s="36">
        <f t="shared" si="1"/>
        <v>1.819676230611611E-2</v>
      </c>
      <c r="Q6" s="36">
        <f t="shared" si="1"/>
        <v>4.3047264919973127E-3</v>
      </c>
      <c r="R6" s="36">
        <f t="shared" si="1"/>
        <v>4.5298281830868481E-2</v>
      </c>
      <c r="S6" s="36">
        <f t="shared" ref="S6" si="2">S4/R4-1</f>
        <v>5.308638426864265E-2</v>
      </c>
      <c r="T6" s="36">
        <f t="shared" ref="T6:Y6" si="3">T4/S4-1</f>
        <v>1.6691403686068584E-2</v>
      </c>
      <c r="U6" s="235">
        <f t="shared" si="3"/>
        <v>1.6191603558590728E-4</v>
      </c>
      <c r="V6" s="235">
        <f t="shared" si="3"/>
        <v>-7.4860147602203719E-3</v>
      </c>
      <c r="W6" s="292">
        <f t="shared" si="3"/>
        <v>-2.0686540310818402E-2</v>
      </c>
      <c r="X6" s="292">
        <f t="shared" si="3"/>
        <v>2.398019547598218E-2</v>
      </c>
      <c r="Y6" s="292">
        <f t="shared" si="3"/>
        <v>-1.1480497982405136E-2</v>
      </c>
      <c r="AA6" s="151">
        <f>AA4/R4-1</f>
        <v>5.308638426864265E-2</v>
      </c>
      <c r="AB6" s="151">
        <f>AB4/S4-1</f>
        <v>1.6691403686068584E-2</v>
      </c>
      <c r="AC6" s="159">
        <f>AC4/AB4-1</f>
        <v>1.6191603558590728E-4</v>
      </c>
      <c r="AD6" s="159">
        <f>AD4/AC4-1</f>
        <v>-7.4860147602203719E-3</v>
      </c>
      <c r="AE6" s="159">
        <f>AE4/AD4-1</f>
        <v>-2.0686540310818402E-2</v>
      </c>
      <c r="AF6" s="159">
        <f>AF4/AE4-1</f>
        <v>2.398019547598218E-2</v>
      </c>
      <c r="AG6" s="159">
        <f>AG4/AF4-1</f>
        <v>-1.1480497982405136E-2</v>
      </c>
      <c r="AH6" s="159">
        <f>AH4/AE4-1</f>
        <v>4.2747736805946568E-2</v>
      </c>
      <c r="AI6" s="159">
        <f>AI4/AH4-1</f>
        <v>-4.6242774566473965E-3</v>
      </c>
    </row>
    <row r="7" spans="1:35" s="24" customFormat="1" ht="16.5" x14ac:dyDescent="0.5">
      <c r="A7" s="23" t="s">
        <v>89</v>
      </c>
      <c r="B7" s="48">
        <f>'TransfertCompDemo_1 ok'!B19</f>
        <v>-4047585071.6360359</v>
      </c>
      <c r="C7" s="48">
        <f>'TransfertCompDemo_1 ok'!C19</f>
        <v>-4134512816.0203333</v>
      </c>
      <c r="D7" s="48">
        <f>'TransfertCompDemo_1 ok'!D19</f>
        <v>-4228606593.4303503</v>
      </c>
      <c r="E7" s="48">
        <f>'TransfertCompDemo_1 ok'!E19</f>
        <v>-4257378185.5956631</v>
      </c>
      <c r="F7" s="48">
        <f>'TransfertCompDemo_1 ok'!F19</f>
        <v>-4276624302.1397948</v>
      </c>
      <c r="G7" s="48">
        <f>'TransfertCompDemo_1 ok'!G19</f>
        <v>-4273968102.1732864</v>
      </c>
      <c r="H7" s="48">
        <f>'TransfertCompDemo_1 ok'!H19</f>
        <v>-4235634818.6205616</v>
      </c>
      <c r="I7" s="48">
        <f>'TransfertCompDemo_1 ok'!I19</f>
        <v>-4185322872.52742</v>
      </c>
      <c r="J7" s="48">
        <f>'TransfertCompDemo_1 ok'!J19</f>
        <v>-4108617574.8104672</v>
      </c>
      <c r="K7" s="48">
        <f>'TransfertCompDemo_1 ok'!K19</f>
        <v>-3998950607.1369648</v>
      </c>
      <c r="L7" s="48">
        <f>'TransfertCompDemo_1 ok'!L19</f>
        <v>-3908297890.1973386</v>
      </c>
      <c r="M7" s="48">
        <f>'TransfertCompDemo_1 ok'!M19</f>
        <v>-3783156056</v>
      </c>
      <c r="N7" s="48">
        <f>'TransfertCompDemo_1 ok'!N19</f>
        <v>-3723321495.6660671</v>
      </c>
      <c r="O7" s="48">
        <f>'TransfertCompDemo_1 ok'!O19</f>
        <v>-3623241166.0936337</v>
      </c>
      <c r="P7" s="48">
        <f>'TransfertCompDemo_1 ok'!P19</f>
        <v>-3486504285.2198143</v>
      </c>
      <c r="Q7" s="48">
        <f>'TransfertCompDemo_1 ok'!Q19</f>
        <v>-3346396139</v>
      </c>
      <c r="R7" s="48">
        <f>'TransfertCompDemo_1 ok'!R19</f>
        <v>-3178683134.616437</v>
      </c>
      <c r="S7" s="48">
        <f>'TransfertCompDemo_1 ok'!S19</f>
        <v>-3062478389</v>
      </c>
      <c r="T7" s="48">
        <f>'TransfertCompDemo_1 ok'!T19</f>
        <v>-2961193745</v>
      </c>
      <c r="U7" s="48">
        <f>'TransfertCompDemo_1 ok'!U19</f>
        <v>-2857653153</v>
      </c>
      <c r="V7" s="48">
        <f>'TransfertCompDemo_1 ok'!V19</f>
        <v>-2756962754</v>
      </c>
      <c r="W7" s="275">
        <f>'TransfertCompDemo_1 ok'!W19</f>
        <v>-2668168252</v>
      </c>
      <c r="X7" s="275">
        <f>'TransfertCompDemo_1 ok'!X19</f>
        <v>-2637253354</v>
      </c>
      <c r="Y7" s="275">
        <f>'TransfertCompDemo_1 ok'!Y19</f>
        <v>-2608184086</v>
      </c>
      <c r="AA7" s="152">
        <f>S7</f>
        <v>-3062478389</v>
      </c>
      <c r="AB7" s="152">
        <f>T7</f>
        <v>-2961193745</v>
      </c>
      <c r="AC7" s="160">
        <f>'TransfertCompDemo_1 ok'!AC19</f>
        <v>-2857653153</v>
      </c>
      <c r="AD7" s="160">
        <f>'TransfertCompDemo_1 ok'!AE19</f>
        <v>-2756962754</v>
      </c>
      <c r="AE7" s="160">
        <f>'TransfertCompDemo_1 ok'!AG19</f>
        <v>-2668168252</v>
      </c>
      <c r="AF7" s="160">
        <f>'TransfertCompDemo_1 ok'!AI19</f>
        <v>-2637253354</v>
      </c>
      <c r="AG7" s="160">
        <f>'TransfertCompDemo_1 ok'!AK19</f>
        <v>-2608184086</v>
      </c>
      <c r="AH7" s="160">
        <f>'TransfertCompDemo_1 ok'!AM19</f>
        <v>-2650000000</v>
      </c>
      <c r="AI7" s="160">
        <f>'TransfertCompDemo_1 ok'!AO19</f>
        <v>-2645000000</v>
      </c>
    </row>
    <row r="8" spans="1:35" x14ac:dyDescent="0.45">
      <c r="A8" s="15" t="s">
        <v>106</v>
      </c>
      <c r="B8" s="46">
        <f>'TransfertCompDemo_1 ok'!B21</f>
        <v>-745455224.31024122</v>
      </c>
      <c r="C8" s="46">
        <f>'TransfertCompDemo_1 ok'!C21</f>
        <v>-772654727.47826457</v>
      </c>
      <c r="D8" s="46">
        <f>'TransfertCompDemo_1 ok'!D21</f>
        <v>-834864310.54237318</v>
      </c>
      <c r="E8" s="46">
        <f>'TransfertCompDemo_1 ok'!E21</f>
        <v>-915993445.8580184</v>
      </c>
      <c r="F8" s="46">
        <f>'TransfertCompDemo_1 ok'!F21</f>
        <v>-897925772.12219739</v>
      </c>
      <c r="G8" s="46">
        <f>'TransfertCompDemo_1 ok'!G21</f>
        <v>-885547423.55952287</v>
      </c>
      <c r="H8" s="46">
        <f>'TransfertCompDemo_1 ok'!H21</f>
        <v>-935743171.72033596</v>
      </c>
      <c r="I8" s="46">
        <f>'TransfertCompDemo_1 ok'!I21</f>
        <v>-919364515.69852591</v>
      </c>
      <c r="J8" s="46">
        <f>'TransfertCompDemo_1 ok'!J21</f>
        <v>-892663198.70834851</v>
      </c>
      <c r="K8" s="46">
        <f>'TransfertCompDemo_1 ok'!K21</f>
        <v>-932736005.36877275</v>
      </c>
      <c r="L8" s="46">
        <f>'TransfertCompDemo_1 ok'!L21</f>
        <v>-910524539.11882448</v>
      </c>
      <c r="M8" s="46">
        <f>'TransfertCompDemo_1 ok'!M21</f>
        <v>-879776586</v>
      </c>
      <c r="N8" s="46">
        <f>'TransfertCompDemo_1 ok'!N21</f>
        <v>-971984072.6899488</v>
      </c>
      <c r="O8" s="46">
        <f>'TransfertCompDemo_1 ok'!O21</f>
        <v>-1039833657.9148853</v>
      </c>
      <c r="P8" s="46">
        <f>'TransfertCompDemo_1 ok'!P21</f>
        <v>-1123067502.30509</v>
      </c>
      <c r="Q8" s="46">
        <f>'TransfertCompDemo_1 ok'!Q21</f>
        <v>-1223046459</v>
      </c>
      <c r="R8" s="46">
        <f>'TransfertCompDemo_1 ok'!R21</f>
        <v>-1131003394.8393908</v>
      </c>
      <c r="S8" s="46">
        <f>'TransfertCompDemo_1 ok'!S21</f>
        <v>-1450827625</v>
      </c>
      <c r="T8" s="46">
        <f>'TransfertCompDemo_1 ok'!T21</f>
        <v>-1202212774</v>
      </c>
      <c r="U8" s="46">
        <f>'TransfertCompDemo_1 ok'!U21</f>
        <v>-826432132</v>
      </c>
      <c r="V8" s="46">
        <f>'TransfertCompDemo_1 ok'!V21</f>
        <v>-467721470</v>
      </c>
      <c r="W8" s="46">
        <f>'TransfertCompDemo_1 ok'!W21</f>
        <v>-112254570</v>
      </c>
      <c r="X8" s="46">
        <f>'TransfertCompDemo_1 ok'!X21</f>
        <v>433867017</v>
      </c>
      <c r="Y8" s="46">
        <f>'TransfertCompDemo_1 ok'!Y21</f>
        <v>845636432</v>
      </c>
      <c r="AA8" s="150">
        <f>S8</f>
        <v>-1450827625</v>
      </c>
      <c r="AB8" s="150">
        <f>T8</f>
        <v>-1202212774</v>
      </c>
      <c r="AC8" s="158">
        <f>'TransfertCompDemo_1 ok'!AC21</f>
        <v>-826432132</v>
      </c>
      <c r="AD8" s="158">
        <f>'TransfertCompDemo_1 ok'!AE21</f>
        <v>-467721470</v>
      </c>
      <c r="AE8" s="158">
        <f>'TransfertCompDemo_1 ok'!AG21</f>
        <v>-112254570</v>
      </c>
      <c r="AF8" s="158">
        <f>'TransfertCompDemo_1 ok'!AI21</f>
        <v>433867017</v>
      </c>
      <c r="AG8" s="158">
        <f>'TransfertCompDemo_1 ok'!AK21</f>
        <v>845636432</v>
      </c>
      <c r="AH8" s="158">
        <f>'TransfertCompDemo_1 ok'!AM21</f>
        <v>1338000000</v>
      </c>
      <c r="AI8" s="158">
        <f>'TransfertCompDemo_1 ok'!AO21</f>
        <v>1747000000</v>
      </c>
    </row>
    <row r="9" spans="1:35" x14ac:dyDescent="0.45">
      <c r="A9" s="15" t="s">
        <v>34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AA9" s="150"/>
      <c r="AB9" s="150"/>
      <c r="AC9" s="158"/>
      <c r="AD9" s="158"/>
      <c r="AE9" s="158"/>
      <c r="AF9" s="158"/>
      <c r="AG9" s="158"/>
      <c r="AH9" s="158"/>
      <c r="AI9" s="158"/>
    </row>
    <row r="10" spans="1:35" x14ac:dyDescent="0.45">
      <c r="A10" s="25" t="s">
        <v>87</v>
      </c>
      <c r="B10" s="49"/>
      <c r="C10" s="26"/>
      <c r="D10" s="26"/>
      <c r="E10" s="26"/>
      <c r="F10" s="27"/>
      <c r="G10" s="27"/>
      <c r="H10" s="27"/>
      <c r="I10" s="27"/>
      <c r="J10" s="28"/>
      <c r="K10" s="134">
        <f t="shared" ref="K10:R10" si="4">K7/J7-1</f>
        <v>-2.669193851135232E-2</v>
      </c>
      <c r="L10" s="134">
        <f t="shared" si="4"/>
        <v>-2.2669126439780807E-2</v>
      </c>
      <c r="M10" s="134">
        <f t="shared" si="4"/>
        <v>-3.2019523002894679E-2</v>
      </c>
      <c r="N10" s="134">
        <f t="shared" si="4"/>
        <v>-1.5816043390289636E-2</v>
      </c>
      <c r="O10" s="134">
        <f t="shared" si="4"/>
        <v>-2.6879314528419518E-2</v>
      </c>
      <c r="P10" s="134">
        <f t="shared" si="4"/>
        <v>-3.7738829574306521E-2</v>
      </c>
      <c r="Q10" s="134">
        <f t="shared" si="4"/>
        <v>-4.0185852291582891E-2</v>
      </c>
      <c r="R10" s="134">
        <f t="shared" si="4"/>
        <v>-5.011749877098548E-2</v>
      </c>
      <c r="S10" s="134">
        <f t="shared" ref="S10" si="5">S7/R7-1</f>
        <v>-3.6557511615721072E-2</v>
      </c>
      <c r="T10" s="134">
        <f t="shared" ref="T10:Y10" si="6">T7/S7-1</f>
        <v>-3.3072770199391588E-2</v>
      </c>
      <c r="U10" s="134">
        <f t="shared" si="6"/>
        <v>-3.4965828282877198E-2</v>
      </c>
      <c r="V10" s="134">
        <f t="shared" si="6"/>
        <v>-3.5235346492031083E-2</v>
      </c>
      <c r="W10" s="291">
        <f t="shared" si="6"/>
        <v>-3.2207363654503718E-2</v>
      </c>
      <c r="X10" s="291">
        <f t="shared" si="6"/>
        <v>-1.1586562420427104E-2</v>
      </c>
      <c r="Y10" s="291">
        <f t="shared" si="6"/>
        <v>-1.1022554187260725E-2</v>
      </c>
      <c r="AA10" s="153">
        <f>AA7/R7-1</f>
        <v>-3.6557511615721072E-2</v>
      </c>
      <c r="AB10" s="153">
        <f>AB7/S7-1</f>
        <v>-3.3072770199391588E-2</v>
      </c>
      <c r="AC10" s="153">
        <f>AC7/T7-1</f>
        <v>-3.4965828282877198E-2</v>
      </c>
      <c r="AD10" s="153">
        <f>AD7/AC7-1</f>
        <v>-3.5235346492031083E-2</v>
      </c>
      <c r="AE10" s="153">
        <f>AE7/AD7-1</f>
        <v>-3.2207363654503718E-2</v>
      </c>
      <c r="AF10" s="153">
        <f>AF7/AE7-1</f>
        <v>-1.1586562420427104E-2</v>
      </c>
      <c r="AG10" s="153">
        <f>AG7/AF7-1</f>
        <v>-1.1022554187260725E-2</v>
      </c>
      <c r="AH10" s="153">
        <f>AH7/AE7-1</f>
        <v>-6.8092602430080973E-3</v>
      </c>
      <c r="AI10" s="153">
        <f>AI7/AH7-1</f>
        <v>-1.8867924528301883E-3</v>
      </c>
    </row>
    <row r="11" spans="1:35" x14ac:dyDescent="0.45">
      <c r="A11" s="29" t="s">
        <v>85</v>
      </c>
      <c r="B11" s="50">
        <f t="shared" ref="B11:R11" si="7">B4+B7</f>
        <v>-6223204176.8739767</v>
      </c>
      <c r="C11" s="50">
        <f t="shared" si="7"/>
        <v>-6331977288.142374</v>
      </c>
      <c r="D11" s="50">
        <f t="shared" si="7"/>
        <v>-6473346443.5976591</v>
      </c>
      <c r="E11" s="50">
        <f t="shared" si="7"/>
        <v>-6429472929.1583405</v>
      </c>
      <c r="F11" s="50">
        <f t="shared" si="7"/>
        <v>-6462044884.1546268</v>
      </c>
      <c r="G11" s="50">
        <f t="shared" si="7"/>
        <v>-6477953632.960062</v>
      </c>
      <c r="H11" s="50">
        <f t="shared" si="7"/>
        <v>-6466098726.6709156</v>
      </c>
      <c r="I11" s="50">
        <f t="shared" si="7"/>
        <v>-6435169015.7779484</v>
      </c>
      <c r="J11" s="50">
        <f t="shared" si="7"/>
        <v>-6362393432.3967009</v>
      </c>
      <c r="K11" s="50">
        <f t="shared" si="7"/>
        <v>-6266065345.2431717</v>
      </c>
      <c r="L11" s="50">
        <f t="shared" si="7"/>
        <v>-6182281997.6265039</v>
      </c>
      <c r="M11" s="50">
        <f t="shared" si="7"/>
        <v>-5905512379</v>
      </c>
      <c r="N11" s="50">
        <f t="shared" si="7"/>
        <v>-5908745666.0068369</v>
      </c>
      <c r="O11" s="50">
        <f t="shared" si="7"/>
        <v>-5860101303.8431911</v>
      </c>
      <c r="P11" s="50">
        <f t="shared" si="7"/>
        <v>-5764068035.2080269</v>
      </c>
      <c r="Q11" s="50">
        <f t="shared" si="7"/>
        <v>-5633764178</v>
      </c>
      <c r="R11" s="50">
        <f t="shared" si="7"/>
        <v>-5569665015.6979799</v>
      </c>
      <c r="S11" s="50">
        <f>S4+S7</f>
        <v>-5580388853</v>
      </c>
      <c r="T11" s="50">
        <f t="shared" ref="T11:U11" si="8">T4+T7</f>
        <v>-5521131669</v>
      </c>
      <c r="U11" s="50">
        <f t="shared" si="8"/>
        <v>-5418005572</v>
      </c>
      <c r="V11" s="50">
        <f t="shared" ref="V11:W11" si="9">V4+V7</f>
        <v>-5298148337</v>
      </c>
      <c r="W11" s="274">
        <f t="shared" si="9"/>
        <v>-5156785497</v>
      </c>
      <c r="X11" s="274">
        <f t="shared" ref="X11:Y11" si="10">X4+X7</f>
        <v>-5185548127</v>
      </c>
      <c r="Y11" s="274">
        <f t="shared" si="10"/>
        <v>-5127223166</v>
      </c>
      <c r="AA11" s="154">
        <f t="shared" ref="AA11:AE11" si="11">AA4+AA7</f>
        <v>-5580388853</v>
      </c>
      <c r="AB11" s="154">
        <f t="shared" si="11"/>
        <v>-5521131669</v>
      </c>
      <c r="AC11" s="161">
        <f t="shared" si="11"/>
        <v>-5418005572</v>
      </c>
      <c r="AD11" s="161">
        <f t="shared" si="11"/>
        <v>-5298148337</v>
      </c>
      <c r="AE11" s="161">
        <f t="shared" si="11"/>
        <v>-5156785497</v>
      </c>
      <c r="AF11" s="161">
        <f t="shared" ref="AF11" si="12">AF4+AF7</f>
        <v>-5185548127</v>
      </c>
      <c r="AG11" s="161">
        <f t="shared" ref="AG11" si="13">AG4+AG7</f>
        <v>-5127223166</v>
      </c>
      <c r="AH11" s="161">
        <f>AH4+AH7</f>
        <v>-5245000000</v>
      </c>
      <c r="AI11" s="161">
        <f t="shared" ref="AI11" si="14">AI4+AI7</f>
        <v>-5228000000</v>
      </c>
    </row>
    <row r="12" spans="1:35" ht="31" x14ac:dyDescent="0.45">
      <c r="A12" s="135" t="s">
        <v>88</v>
      </c>
      <c r="K12" s="136">
        <f t="shared" ref="K12:R12" si="15">K11/J11-1</f>
        <v>-1.5140227993923783E-2</v>
      </c>
      <c r="L12" s="136">
        <f t="shared" si="15"/>
        <v>-1.3370966148680719E-2</v>
      </c>
      <c r="M12" s="136">
        <f t="shared" si="15"/>
        <v>-4.4768197039986357E-2</v>
      </c>
      <c r="N12" s="136">
        <f t="shared" si="15"/>
        <v>5.475032138335667E-4</v>
      </c>
      <c r="O12" s="136">
        <f t="shared" si="15"/>
        <v>-8.2326038237688914E-3</v>
      </c>
      <c r="P12" s="136">
        <f t="shared" si="15"/>
        <v>-1.6387646502319608E-2</v>
      </c>
      <c r="Q12" s="136">
        <f t="shared" si="15"/>
        <v>-2.2606231642670727E-2</v>
      </c>
      <c r="R12" s="136">
        <f t="shared" si="15"/>
        <v>-1.1377679341341485E-2</v>
      </c>
      <c r="S12" s="136">
        <f t="shared" ref="S12" si="16">S11/R11-1</f>
        <v>1.9254007685911567E-3</v>
      </c>
      <c r="T12" s="136">
        <f t="shared" ref="T12:Y12" si="17">T11/S11-1</f>
        <v>-1.0618827031765643E-2</v>
      </c>
      <c r="U12" s="136">
        <f t="shared" si="17"/>
        <v>-1.8678434636694385E-2</v>
      </c>
      <c r="V12" s="136">
        <f t="shared" si="17"/>
        <v>-2.2122021361405841E-2</v>
      </c>
      <c r="W12" s="136">
        <f t="shared" si="17"/>
        <v>-2.6681555707450122E-2</v>
      </c>
      <c r="X12" s="136">
        <f t="shared" si="17"/>
        <v>5.5776277715513523E-3</v>
      </c>
      <c r="Y12" s="136">
        <f t="shared" si="17"/>
        <v>-1.1247598049724972E-2</v>
      </c>
      <c r="AA12" s="155">
        <f>AA11/R11-1</f>
        <v>1.9254007685911567E-3</v>
      </c>
      <c r="AB12" s="155">
        <f>AB11/S11-1</f>
        <v>-1.0618827031765643E-2</v>
      </c>
      <c r="AC12" s="162">
        <f>AC11/AB11-1</f>
        <v>-1.8678434636694385E-2</v>
      </c>
      <c r="AD12" s="162">
        <f>AD11/AC11-1</f>
        <v>-2.2122021361405841E-2</v>
      </c>
      <c r="AE12" s="162">
        <f>AE11/AD11-1</f>
        <v>-2.6681555707450122E-2</v>
      </c>
      <c r="AF12" s="162">
        <f>AF11/AE11-1</f>
        <v>5.5776277715513523E-3</v>
      </c>
      <c r="AG12" s="162">
        <f>AG11/AF11-1</f>
        <v>-1.1247598049724972E-2</v>
      </c>
      <c r="AH12" s="162">
        <f>AH11/AE11-1</f>
        <v>1.710649067162473E-2</v>
      </c>
      <c r="AI12" s="162">
        <f>AI11/AH11-1</f>
        <v>-3.2411820781697021E-3</v>
      </c>
    </row>
    <row r="13" spans="1:35" x14ac:dyDescent="0.45">
      <c r="A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AB13" s="178"/>
      <c r="AC13" s="178"/>
      <c r="AD13" s="178"/>
      <c r="AE13" s="178"/>
      <c r="AF13" s="178"/>
      <c r="AH13" s="178"/>
    </row>
    <row r="15" spans="1:35" x14ac:dyDescent="0.45">
      <c r="A15" s="33" t="s">
        <v>32</v>
      </c>
    </row>
    <row r="16" spans="1:35" x14ac:dyDescent="0.45">
      <c r="A16" s="33" t="s">
        <v>33</v>
      </c>
    </row>
    <row r="18" spans="1:27" ht="16.5" x14ac:dyDescent="0.5">
      <c r="A18" s="16" t="s">
        <v>10</v>
      </c>
      <c r="B18" s="103">
        <f t="shared" ref="B18:X18" si="18">-B4</f>
        <v>2175619105.2379408</v>
      </c>
      <c r="C18" s="103">
        <f t="shared" si="18"/>
        <v>2197464472.1220412</v>
      </c>
      <c r="D18" s="103">
        <f t="shared" si="18"/>
        <v>2244739850.1673088</v>
      </c>
      <c r="E18" s="103">
        <f t="shared" si="18"/>
        <v>2172094743.5626774</v>
      </c>
      <c r="F18" s="103">
        <f t="shared" si="18"/>
        <v>2185420582.014832</v>
      </c>
      <c r="G18" s="103">
        <f t="shared" si="18"/>
        <v>2203985530.7867756</v>
      </c>
      <c r="H18" s="103">
        <f t="shared" si="18"/>
        <v>2230463908.0503545</v>
      </c>
      <c r="I18" s="103">
        <f t="shared" si="18"/>
        <v>2249846143.2505283</v>
      </c>
      <c r="J18" s="103">
        <f t="shared" si="18"/>
        <v>2253775857.5862336</v>
      </c>
      <c r="K18" s="103">
        <f t="shared" si="18"/>
        <v>2267114738.1062064</v>
      </c>
      <c r="L18" s="103">
        <f t="shared" si="18"/>
        <v>2273984107.4291654</v>
      </c>
      <c r="M18" s="103">
        <f t="shared" si="18"/>
        <v>2122356323</v>
      </c>
      <c r="N18" s="103">
        <f t="shared" si="18"/>
        <v>2185424170.3407698</v>
      </c>
      <c r="O18" s="103">
        <f t="shared" si="18"/>
        <v>2236860137.749558</v>
      </c>
      <c r="P18" s="103">
        <f t="shared" si="18"/>
        <v>2277563749.9882131</v>
      </c>
      <c r="Q18" s="103">
        <f t="shared" si="18"/>
        <v>2287368039</v>
      </c>
      <c r="R18" s="103">
        <f t="shared" si="18"/>
        <v>2390981881.081543</v>
      </c>
      <c r="S18" s="103">
        <f t="shared" si="18"/>
        <v>2517910464</v>
      </c>
      <c r="T18" s="103">
        <f t="shared" si="18"/>
        <v>2559937924</v>
      </c>
      <c r="U18" s="103">
        <f t="shared" si="18"/>
        <v>2560352419</v>
      </c>
      <c r="V18" s="103">
        <f t="shared" si="18"/>
        <v>2541185583</v>
      </c>
      <c r="W18" s="103">
        <f t="shared" si="18"/>
        <v>2488617245</v>
      </c>
      <c r="X18" s="103">
        <f t="shared" si="18"/>
        <v>2548294773</v>
      </c>
      <c r="Y18" s="103">
        <f t="shared" ref="Y18" si="19">-Y4</f>
        <v>2519039080</v>
      </c>
    </row>
    <row r="19" spans="1:27" ht="16.5" x14ac:dyDescent="0.5">
      <c r="A19" s="23" t="s">
        <v>89</v>
      </c>
      <c r="B19" s="48">
        <f t="shared" ref="B19:X19" si="20">-B7</f>
        <v>4047585071.6360359</v>
      </c>
      <c r="C19" s="48">
        <f t="shared" si="20"/>
        <v>4134512816.0203333</v>
      </c>
      <c r="D19" s="48">
        <f t="shared" si="20"/>
        <v>4228606593.4303503</v>
      </c>
      <c r="E19" s="48">
        <f t="shared" si="20"/>
        <v>4257378185.5956631</v>
      </c>
      <c r="F19" s="48">
        <f t="shared" si="20"/>
        <v>4276624302.1397948</v>
      </c>
      <c r="G19" s="48">
        <f t="shared" si="20"/>
        <v>4273968102.1732864</v>
      </c>
      <c r="H19" s="48">
        <f t="shared" si="20"/>
        <v>4235634818.6205616</v>
      </c>
      <c r="I19" s="48">
        <f t="shared" si="20"/>
        <v>4185322872.52742</v>
      </c>
      <c r="J19" s="48">
        <f t="shared" si="20"/>
        <v>4108617574.8104672</v>
      </c>
      <c r="K19" s="48">
        <f t="shared" si="20"/>
        <v>3998950607.1369648</v>
      </c>
      <c r="L19" s="48">
        <f t="shared" si="20"/>
        <v>3908297890.1973386</v>
      </c>
      <c r="M19" s="48">
        <f t="shared" si="20"/>
        <v>3783156056</v>
      </c>
      <c r="N19" s="48">
        <f t="shared" si="20"/>
        <v>3723321495.6660671</v>
      </c>
      <c r="O19" s="48">
        <f t="shared" si="20"/>
        <v>3623241166.0936337</v>
      </c>
      <c r="P19" s="48">
        <f t="shared" si="20"/>
        <v>3486504285.2198143</v>
      </c>
      <c r="Q19" s="48">
        <f t="shared" si="20"/>
        <v>3346396139</v>
      </c>
      <c r="R19" s="48">
        <f t="shared" si="20"/>
        <v>3178683134.616437</v>
      </c>
      <c r="S19" s="48">
        <f t="shared" si="20"/>
        <v>3062478389</v>
      </c>
      <c r="T19" s="48">
        <f t="shared" si="20"/>
        <v>2961193745</v>
      </c>
      <c r="U19" s="48">
        <f t="shared" si="20"/>
        <v>2857653153</v>
      </c>
      <c r="V19" s="48">
        <f t="shared" si="20"/>
        <v>2756962754</v>
      </c>
      <c r="W19" s="48">
        <f t="shared" si="20"/>
        <v>2668168252</v>
      </c>
      <c r="X19" s="48">
        <f t="shared" si="20"/>
        <v>2637253354</v>
      </c>
      <c r="Y19" s="48">
        <f t="shared" ref="Y19" si="21">-Y7</f>
        <v>2608184086</v>
      </c>
    </row>
    <row r="21" spans="1:27" x14ac:dyDescent="0.45">
      <c r="A21" s="9" t="str">
        <f>A18</f>
        <v>Salariés Agricoles</v>
      </c>
      <c r="Q21" s="39">
        <f>Q18/SUM(Q18:Q19)</f>
        <v>0.40601061150770801</v>
      </c>
      <c r="R21" s="39">
        <f t="shared" ref="R21:U21" si="22">R18/SUM(R18:R19)</f>
        <v>0.42928647851219282</v>
      </c>
      <c r="S21" s="39">
        <f t="shared" si="22"/>
        <v>0.45120699118420377</v>
      </c>
      <c r="T21" s="39">
        <f t="shared" si="22"/>
        <v>0.46366181382224886</v>
      </c>
      <c r="U21" s="39">
        <f t="shared" si="22"/>
        <v>0.47256363711247951</v>
      </c>
      <c r="V21" s="39">
        <f t="shared" ref="V21:W21" si="23">V18/SUM(V18:V19)</f>
        <v>0.47963654872655181</v>
      </c>
      <c r="W21" s="39">
        <f t="shared" si="23"/>
        <v>0.4825908012748974</v>
      </c>
      <c r="X21" s="39">
        <f t="shared" ref="X21:Y21" si="24">X18/SUM(X18:X19)</f>
        <v>0.49142245151126723</v>
      </c>
      <c r="Y21" s="39">
        <f t="shared" si="24"/>
        <v>0.49130669729853532</v>
      </c>
    </row>
    <row r="22" spans="1:27" x14ac:dyDescent="0.45">
      <c r="A22" s="236" t="str">
        <f>A19</f>
        <v>Non-salariés agricoles</v>
      </c>
      <c r="B22" s="237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7">
        <f>Q19/SUM(Q18:Q19)</f>
        <v>0.59398938849229199</v>
      </c>
      <c r="R22" s="237">
        <f t="shared" ref="R22:U22" si="25">R19/SUM(R18:R19)</f>
        <v>0.57071352148780718</v>
      </c>
      <c r="S22" s="237">
        <f t="shared" si="25"/>
        <v>0.54879300881579618</v>
      </c>
      <c r="T22" s="237">
        <f t="shared" si="25"/>
        <v>0.5363381861777512</v>
      </c>
      <c r="U22" s="237">
        <f t="shared" si="25"/>
        <v>0.52743636288752049</v>
      </c>
      <c r="V22" s="237">
        <f t="shared" ref="V22" si="26">V19/SUM(V18:V19)</f>
        <v>0.52036345127344819</v>
      </c>
      <c r="W22" s="237">
        <f>W19/SUM(W18:W19)</f>
        <v>0.5174091987251026</v>
      </c>
      <c r="X22" s="237">
        <f>X19/SUM(X18:X19)</f>
        <v>0.50857754848873282</v>
      </c>
      <c r="Y22" s="237">
        <f>Y19/SUM(Y18:Y19)</f>
        <v>0.50869330270146462</v>
      </c>
    </row>
    <row r="23" spans="1:27" x14ac:dyDescent="0.45">
      <c r="AA23" s="261"/>
    </row>
  </sheetData>
  <mergeCells count="1">
    <mergeCell ref="B1:M1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24"/>
  </sheetPr>
  <dimension ref="A1:G12"/>
  <sheetViews>
    <sheetView workbookViewId="0"/>
  </sheetViews>
  <sheetFormatPr baseColWidth="10" defaultRowHeight="12.5" x14ac:dyDescent="0.25"/>
  <cols>
    <col min="1" max="1" width="30.26953125" bestFit="1" customWidth="1"/>
    <col min="2" max="2" width="14.1796875" bestFit="1" customWidth="1"/>
    <col min="4" max="4" width="29.1796875" bestFit="1" customWidth="1"/>
    <col min="5" max="5" width="13.26953125" bestFit="1" customWidth="1"/>
  </cols>
  <sheetData>
    <row r="1" spans="1:7" ht="13" x14ac:dyDescent="0.3">
      <c r="A1" s="375" t="s">
        <v>80</v>
      </c>
      <c r="B1" t="s">
        <v>81</v>
      </c>
      <c r="C1" t="s">
        <v>82</v>
      </c>
      <c r="D1" s="376" t="s">
        <v>84</v>
      </c>
      <c r="E1" t="s">
        <v>81</v>
      </c>
      <c r="F1" t="s">
        <v>82</v>
      </c>
    </row>
    <row r="2" spans="1:7" ht="13" x14ac:dyDescent="0.3">
      <c r="A2" s="368" t="s">
        <v>9</v>
      </c>
      <c r="B2" s="369">
        <f>'TransfertCompDemo_1 ok'!Y3</f>
        <v>4073503482</v>
      </c>
      <c r="C2" s="179">
        <f t="shared" ref="C2:C8" si="0">B2/$B$11</f>
        <v>0.66170409143335018</v>
      </c>
      <c r="D2" s="365" t="s">
        <v>89</v>
      </c>
      <c r="E2" s="364">
        <f>'TransfertCompDemo_1 ok'!Y19</f>
        <v>-2608184086</v>
      </c>
      <c r="F2" s="122">
        <f t="shared" ref="F2:F9" si="1">E2/$E$11</f>
        <v>0.42367610302623349</v>
      </c>
    </row>
    <row r="3" spans="1:7" ht="13" x14ac:dyDescent="0.3">
      <c r="A3" s="370" t="s">
        <v>14</v>
      </c>
      <c r="B3" s="369">
        <f>'TransfertCompDemo_1 ok'!Y8</f>
        <v>618371132</v>
      </c>
      <c r="C3" s="179">
        <f t="shared" si="0"/>
        <v>0.10044884210281184</v>
      </c>
      <c r="D3" s="365" t="s">
        <v>90</v>
      </c>
      <c r="E3" s="364">
        <f>'TransfertCompDemo_1 ok'!Y4</f>
        <v>-2519039080</v>
      </c>
      <c r="F3" s="122">
        <f t="shared" si="1"/>
        <v>0.40919529664869997</v>
      </c>
    </row>
    <row r="4" spans="1:7" x14ac:dyDescent="0.25">
      <c r="A4" s="368" t="s">
        <v>27</v>
      </c>
      <c r="B4" s="369">
        <f>'TransfertCompDemo_1 ok'!Y22</f>
        <v>386517913</v>
      </c>
      <c r="C4" s="179">
        <f t="shared" si="0"/>
        <v>6.2786366962624254E-2</v>
      </c>
      <c r="D4" s="366" t="s">
        <v>92</v>
      </c>
      <c r="E4" s="364">
        <f>'TransfertCompDemo_1 ok'!Y5</f>
        <v>-552296809</v>
      </c>
      <c r="F4" s="122">
        <f t="shared" si="1"/>
        <v>8.9715661178581388E-2</v>
      </c>
    </row>
    <row r="5" spans="1:7" x14ac:dyDescent="0.25">
      <c r="A5" s="368" t="s">
        <v>103</v>
      </c>
      <c r="B5" s="369">
        <f>'TransfertCompDemo_1 ok'!Y21</f>
        <v>845636432</v>
      </c>
      <c r="C5" s="179">
        <f t="shared" si="0"/>
        <v>0.13736605096622329</v>
      </c>
      <c r="D5" s="366" t="s">
        <v>15</v>
      </c>
      <c r="E5" s="364">
        <f>'TransfertCompDemo_1 ok'!Y9</f>
        <v>-190241257</v>
      </c>
      <c r="F5" s="122">
        <f t="shared" si="1"/>
        <v>3.0902985273629249E-2</v>
      </c>
    </row>
    <row r="6" spans="1:7" x14ac:dyDescent="0.25">
      <c r="A6" s="371" t="s">
        <v>12</v>
      </c>
      <c r="B6" s="369">
        <f>'TransfertCompDemo_1 ok'!Y6</f>
        <v>85404573</v>
      </c>
      <c r="C6" s="179">
        <f t="shared" si="0"/>
        <v>1.3873206597450068E-2</v>
      </c>
      <c r="D6" s="366" t="s">
        <v>18</v>
      </c>
      <c r="E6" s="364">
        <f>'TransfertCompDemo_1 ok'!Y12</f>
        <v>-79571916</v>
      </c>
      <c r="F6" s="122">
        <f t="shared" si="1"/>
        <v>1.2925743800896266E-2</v>
      </c>
    </row>
    <row r="7" spans="1:7" x14ac:dyDescent="0.25">
      <c r="A7" s="368" t="s">
        <v>19</v>
      </c>
      <c r="B7" s="369">
        <f>'TransfertCompDemo_1 ok'!Y13</f>
        <v>21668609</v>
      </c>
      <c r="C7" s="179">
        <f t="shared" si="0"/>
        <v>3.5198711120113667E-3</v>
      </c>
      <c r="D7" s="367" t="s">
        <v>13</v>
      </c>
      <c r="E7" s="364">
        <f>'TransfertCompDemo_1 ok'!Y7</f>
        <v>-94161970</v>
      </c>
      <c r="F7" s="122">
        <f t="shared" si="1"/>
        <v>1.5295767164984191E-2</v>
      </c>
    </row>
    <row r="8" spans="1:7" x14ac:dyDescent="0.25">
      <c r="A8" s="368" t="s">
        <v>28</v>
      </c>
      <c r="B8" s="369">
        <f>'TransfertCompDemo_1 ok'!Y23</f>
        <v>103724509</v>
      </c>
      <c r="C8" s="179">
        <f t="shared" si="0"/>
        <v>1.6849115826339522E-2</v>
      </c>
      <c r="D8" s="366" t="s">
        <v>20</v>
      </c>
      <c r="E8" s="364">
        <f>'TransfertCompDemo_1 ok'!Y14</f>
        <v>-32595820</v>
      </c>
      <c r="F8" s="122">
        <f t="shared" si="1"/>
        <v>5.2948984953451487E-3</v>
      </c>
    </row>
    <row r="9" spans="1:7" x14ac:dyDescent="0.25">
      <c r="A9" s="368" t="s">
        <v>17</v>
      </c>
      <c r="B9" s="369">
        <f>'TransfertCompDemo_1 ok'!Y11</f>
        <v>21253590</v>
      </c>
      <c r="C9" s="179">
        <f>B9/$B$11</f>
        <v>3.452454999189549E-3</v>
      </c>
      <c r="D9" s="366" t="s">
        <v>16</v>
      </c>
      <c r="E9" s="364">
        <f>'TransfertCompDemo_1 ok'!Y10</f>
        <v>-79989302</v>
      </c>
      <c r="F9" s="122">
        <f t="shared" si="1"/>
        <v>1.2993544411630345E-2</v>
      </c>
    </row>
    <row r="11" spans="1:7" ht="13" x14ac:dyDescent="0.3">
      <c r="A11" s="372" t="s">
        <v>83</v>
      </c>
      <c r="B11" s="373">
        <f>SUM(B2:B9)</f>
        <v>6156080240</v>
      </c>
      <c r="C11" s="127"/>
      <c r="E11" s="374">
        <f>SUM(E2:E9)</f>
        <v>-6156080240</v>
      </c>
      <c r="F11" s="147">
        <f>B11+E11</f>
        <v>0</v>
      </c>
      <c r="G11" s="145" t="s">
        <v>97</v>
      </c>
    </row>
    <row r="12" spans="1:7" x14ac:dyDescent="0.25">
      <c r="F12" s="122"/>
    </row>
  </sheetData>
  <sortState xmlns:xlrd2="http://schemas.microsoft.com/office/spreadsheetml/2017/richdata2" ref="D2:F9">
    <sortCondition descending="1" ref="F2:F9"/>
  </sortState>
  <hyperlinks>
    <hyperlink ref="A6" location="Data!A31" display="Data!A31" xr:uid="{00000000-0004-0000-12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C53F8-79F2-4DE1-9539-4DA942A2B7E7}">
  <sheetPr>
    <tabColor indexed="24"/>
  </sheetPr>
  <dimension ref="A1"/>
  <sheetViews>
    <sheetView zoomScale="90" zoomScaleNormal="90" workbookViewId="0">
      <selection activeCell="Q33" sqref="Q33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7586-EBD5-4EF6-8300-2BEF6A7F75F3}">
  <sheetPr>
    <tabColor indexed="24"/>
  </sheetPr>
  <dimension ref="A1"/>
  <sheetViews>
    <sheetView topLeftCell="A4" zoomScale="90" zoomScaleNormal="90" workbookViewId="0">
      <selection activeCell="A2" sqref="A2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BA9E-C30B-4E66-A437-497E098E6C7E}">
  <dimension ref="A1"/>
  <sheetViews>
    <sheetView showGridLines="0" workbookViewId="0"/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tabColor rgb="FF7030A0"/>
  </sheetPr>
  <dimension ref="A1:AA67"/>
  <sheetViews>
    <sheetView zoomScaleNormal="100" workbookViewId="0">
      <pane xSplit="1" topLeftCell="U1" activePane="topRight" state="frozen"/>
      <selection pane="topRight" activeCell="AH24" sqref="AH24"/>
    </sheetView>
  </sheetViews>
  <sheetFormatPr baseColWidth="10" defaultRowHeight="12.5" x14ac:dyDescent="0.25"/>
  <cols>
    <col min="1" max="1" width="31" bestFit="1" customWidth="1"/>
    <col min="19" max="21" width="13.81640625" bestFit="1" customWidth="1"/>
    <col min="22" max="25" width="13.81640625" customWidth="1"/>
    <col min="26" max="26" width="14.453125" bestFit="1" customWidth="1"/>
  </cols>
  <sheetData>
    <row r="1" spans="1:26" ht="13" x14ac:dyDescent="0.3">
      <c r="A1" s="398" t="s">
        <v>78</v>
      </c>
      <c r="B1" s="399">
        <v>2000</v>
      </c>
      <c r="C1" s="399">
        <f>+B1+1</f>
        <v>2001</v>
      </c>
      <c r="D1" s="399">
        <f t="shared" ref="D1:J1" si="0">+C1+1</f>
        <v>2002</v>
      </c>
      <c r="E1" s="399">
        <f t="shared" si="0"/>
        <v>2003</v>
      </c>
      <c r="F1" s="399">
        <f t="shared" si="0"/>
        <v>2004</v>
      </c>
      <c r="G1" s="399">
        <f t="shared" si="0"/>
        <v>2005</v>
      </c>
      <c r="H1" s="399">
        <f t="shared" si="0"/>
        <v>2006</v>
      </c>
      <c r="I1" s="399">
        <f>+H1+1</f>
        <v>2007</v>
      </c>
      <c r="J1" s="399">
        <f t="shared" si="0"/>
        <v>2008</v>
      </c>
      <c r="K1" s="399">
        <v>2009</v>
      </c>
      <c r="L1" s="399">
        <f t="shared" ref="L1:R1" si="1">+K1+1</f>
        <v>2010</v>
      </c>
      <c r="M1" s="399">
        <f t="shared" si="1"/>
        <v>2011</v>
      </c>
      <c r="N1" s="399">
        <f t="shared" si="1"/>
        <v>2012</v>
      </c>
      <c r="O1" s="399">
        <f t="shared" si="1"/>
        <v>2013</v>
      </c>
      <c r="P1" s="399">
        <f t="shared" si="1"/>
        <v>2014</v>
      </c>
      <c r="Q1" s="399">
        <f t="shared" si="1"/>
        <v>2015</v>
      </c>
      <c r="R1" s="399">
        <f t="shared" si="1"/>
        <v>2016</v>
      </c>
      <c r="S1" s="399">
        <f t="shared" ref="S1" si="2">+R1+1</f>
        <v>2017</v>
      </c>
      <c r="T1" s="399">
        <f t="shared" ref="T1" si="3">+S1+1</f>
        <v>2018</v>
      </c>
      <c r="U1" s="399">
        <v>2019</v>
      </c>
      <c r="V1" s="399">
        <v>2020</v>
      </c>
      <c r="W1" s="399">
        <v>2021</v>
      </c>
      <c r="X1" s="399">
        <v>2022</v>
      </c>
      <c r="Y1" s="399">
        <v>2023</v>
      </c>
      <c r="Z1" s="397" t="s">
        <v>133</v>
      </c>
    </row>
    <row r="2" spans="1:26" x14ac:dyDescent="0.25">
      <c r="A2" s="399" t="s">
        <v>0</v>
      </c>
      <c r="B2" s="2">
        <v>659519</v>
      </c>
      <c r="C2" s="2">
        <v>676723</v>
      </c>
      <c r="D2" s="2">
        <v>678769</v>
      </c>
      <c r="E2" s="2">
        <v>744019</v>
      </c>
      <c r="F2" s="2">
        <v>725525</v>
      </c>
      <c r="G2" s="2">
        <v>723171</v>
      </c>
      <c r="H2" s="2">
        <v>715348</v>
      </c>
      <c r="I2" s="2">
        <v>711599</v>
      </c>
      <c r="J2" s="2">
        <v>712279</v>
      </c>
      <c r="K2" s="2">
        <v>715909.85795642762</v>
      </c>
      <c r="L2" s="2">
        <v>709842.13447587076</v>
      </c>
      <c r="M2" s="2">
        <v>684350.19724672846</v>
      </c>
      <c r="N2" s="2">
        <v>683429</v>
      </c>
      <c r="O2" s="2">
        <v>691466</v>
      </c>
      <c r="P2" s="2">
        <v>713151</v>
      </c>
      <c r="Q2" s="2">
        <v>723966</v>
      </c>
      <c r="R2" s="2">
        <v>733492</v>
      </c>
      <c r="S2" s="175">
        <v>737026</v>
      </c>
      <c r="T2" s="175">
        <v>752765</v>
      </c>
      <c r="U2" s="175">
        <v>788220</v>
      </c>
      <c r="V2" s="175">
        <v>790190</v>
      </c>
      <c r="W2" s="175">
        <v>821500</v>
      </c>
      <c r="X2" s="175">
        <v>836158</v>
      </c>
      <c r="Y2" s="175">
        <v>827199</v>
      </c>
      <c r="Z2" s="405">
        <f>Y2/B2-1</f>
        <v>0.25424589738885461</v>
      </c>
    </row>
    <row r="3" spans="1:26" x14ac:dyDescent="0.25">
      <c r="A3" s="399" t="s">
        <v>1</v>
      </c>
      <c r="B3" s="2">
        <v>687000</v>
      </c>
      <c r="C3" s="2">
        <v>676390</v>
      </c>
      <c r="D3" s="2">
        <v>655605</v>
      </c>
      <c r="E3" s="2">
        <v>636763</v>
      </c>
      <c r="F3" s="2">
        <v>621931</v>
      </c>
      <c r="G3" s="2">
        <v>606458</v>
      </c>
      <c r="H3" s="2">
        <v>584426</v>
      </c>
      <c r="I3" s="2">
        <v>566430</v>
      </c>
      <c r="J3" s="2">
        <v>552133</v>
      </c>
      <c r="K3" s="2">
        <v>537223</v>
      </c>
      <c r="L3" s="2">
        <v>528375</v>
      </c>
      <c r="M3" s="2">
        <v>518487</v>
      </c>
      <c r="N3" s="2">
        <v>513085</v>
      </c>
      <c r="O3" s="2">
        <v>504510</v>
      </c>
      <c r="P3" s="2">
        <v>495706</v>
      </c>
      <c r="Q3" s="2">
        <v>485436</v>
      </c>
      <c r="R3" s="2">
        <v>477593</v>
      </c>
      <c r="S3" s="175">
        <v>469850</v>
      </c>
      <c r="T3" s="175">
        <v>460643</v>
      </c>
      <c r="U3" s="175">
        <v>450417</v>
      </c>
      <c r="V3" s="175">
        <v>443033</v>
      </c>
      <c r="W3" s="175">
        <v>436863</v>
      </c>
      <c r="X3" s="175">
        <v>430081</v>
      </c>
      <c r="Y3" s="175">
        <v>421381</v>
      </c>
      <c r="Z3" s="405">
        <f>Y3/B3-1</f>
        <v>-0.38663609898107709</v>
      </c>
    </row>
    <row r="4" spans="1:26" x14ac:dyDescent="0.25">
      <c r="A4" s="399" t="s">
        <v>2</v>
      </c>
      <c r="B4" s="2">
        <v>15413792</v>
      </c>
      <c r="C4" s="2">
        <v>15802363</v>
      </c>
      <c r="D4" s="2">
        <v>16502649</v>
      </c>
      <c r="E4" s="2">
        <v>19616421</v>
      </c>
      <c r="F4" s="2">
        <v>19711559</v>
      </c>
      <c r="G4" s="2">
        <v>19796457</v>
      </c>
      <c r="H4" s="2">
        <v>19750058</v>
      </c>
      <c r="I4" s="2">
        <v>19843786</v>
      </c>
      <c r="J4" s="2">
        <v>20497119</v>
      </c>
      <c r="K4" s="2">
        <v>20603251.65108702</v>
      </c>
      <c r="L4" s="2">
        <v>20910166.482587487</v>
      </c>
      <c r="M4" s="2">
        <v>21014671</v>
      </c>
      <c r="N4" s="2">
        <v>21071519</v>
      </c>
      <c r="O4" s="2">
        <v>21134116</v>
      </c>
      <c r="P4" s="2">
        <v>21181978</v>
      </c>
      <c r="Q4" s="2">
        <v>21961348</v>
      </c>
      <c r="R4" s="2">
        <v>22039370</v>
      </c>
      <c r="S4" s="175">
        <v>22649701</v>
      </c>
      <c r="T4" s="175">
        <v>22956237</v>
      </c>
      <c r="U4" s="175">
        <v>23228359</v>
      </c>
      <c r="V4" s="175">
        <v>22925462</v>
      </c>
      <c r="W4" s="175">
        <v>24071505</v>
      </c>
      <c r="X4" s="175">
        <v>24305682</v>
      </c>
      <c r="Y4" s="175">
        <v>24576513</v>
      </c>
    </row>
    <row r="5" spans="1:26" x14ac:dyDescent="0.25">
      <c r="A5" s="420" t="s">
        <v>103</v>
      </c>
      <c r="B5" s="434">
        <f>'[1]Compléter avc fascic acompte'!$B$5+'[1]Compléter avc fascic acompte'!$B$6</f>
        <v>1113157</v>
      </c>
      <c r="C5" s="434">
        <f>'[1]Compléter avc fascic acompte'!$C$5+'[1]Compléter avc fascic acompte'!$C$6</f>
        <v>1128987</v>
      </c>
      <c r="D5" s="434">
        <f>'[1]Compléter avc fascic acompte'!$D$5+'[1]Compléter avc fascic acompte'!$D$6</f>
        <v>1125443</v>
      </c>
      <c r="E5" s="434">
        <f>'[1]Compléter avc fascic acompte'!$E$6+'[1]Compléter avc fascic acompte'!$E$5</f>
        <v>1158735</v>
      </c>
      <c r="F5" s="434">
        <f>'[1]Compléter avc fascic acompte'!$F$5+'[1]Compléter avc fascic acompte'!$F$6</f>
        <v>1201328</v>
      </c>
      <c r="G5" s="434">
        <f>'[1]Compléter avc fascic acompte'!$G$6+'[1]Compléter avc fascic acompte'!$G$5</f>
        <v>1246491</v>
      </c>
      <c r="H5" s="434">
        <f>'[1]Compléter avc fascic acompte'!$H$5+'[1]Compléter avc fascic acompte'!$H$6</f>
        <v>1229029</v>
      </c>
      <c r="I5" s="434">
        <f>'[1]Compléter avc fascic acompte'!$I$6+'[1]Compléter avc fascic acompte'!$I$5</f>
        <v>1273269</v>
      </c>
      <c r="J5" s="434">
        <f>'[1]Compléter avc fascic acompte'!$J$6+'[1]Compléter avc fascic acompte'!$J$5</f>
        <v>1342154</v>
      </c>
      <c r="K5" s="434">
        <f>'[1]Compléter avc fascic acompte'!$K$6+'[1]Compléter avc fascic acompte'!$K$5</f>
        <v>1343136.4975189632</v>
      </c>
      <c r="L5" s="434">
        <f>'[1]Compléter avc fascic acompte'!$L$5+'[1]Compléter avc fascic acompte'!$L$6</f>
        <v>1437926</v>
      </c>
      <c r="M5" s="434">
        <f>'[1]Compléter avc fascic acompte'!$M$6+'[1]Compléter avc fascic acompte'!$M$5</f>
        <v>1500537.3238065001</v>
      </c>
      <c r="N5" s="434">
        <f>'[1]Compléter avc fascic acompte'!$N$5+'[1]Compléter avc fascic acompte'!$N$6</f>
        <v>1468021</v>
      </c>
      <c r="O5" s="434">
        <f>'[1]Compléter avc fascic acompte'!$O$5+'[1]Compléter avc fascic acompte'!$O$6</f>
        <v>1459787</v>
      </c>
      <c r="P5" s="434">
        <f>'[1]Compléter avc fascic acompte'!$P$5+'[1]Compléter avc fascic acompte'!$P$6</f>
        <v>1420137</v>
      </c>
      <c r="Q5" s="434">
        <f>743951+651021</f>
        <v>1394972</v>
      </c>
      <c r="R5" s="434">
        <f>809249+728639</f>
        <v>1537888</v>
      </c>
      <c r="S5" s="445">
        <v>1684451</v>
      </c>
      <c r="T5" s="445">
        <v>1753519</v>
      </c>
      <c r="U5" s="445">
        <v>1999392</v>
      </c>
      <c r="V5" s="445">
        <v>2174424</v>
      </c>
      <c r="W5" s="445">
        <v>2447941</v>
      </c>
      <c r="X5" s="445">
        <v>2618226</v>
      </c>
      <c r="Y5" s="445">
        <v>2746002</v>
      </c>
    </row>
    <row r="6" spans="1:26" ht="13" x14ac:dyDescent="0.3">
      <c r="A6" s="402" t="s">
        <v>77</v>
      </c>
      <c r="B6" s="403">
        <v>58849545</v>
      </c>
      <c r="C6" s="403">
        <v>59249169</v>
      </c>
      <c r="D6" s="403">
        <v>59659752</v>
      </c>
      <c r="E6" s="403">
        <v>60066779</v>
      </c>
      <c r="F6" s="403">
        <v>60461613</v>
      </c>
      <c r="G6" s="403">
        <v>60825000</v>
      </c>
      <c r="H6" s="403">
        <v>61166822</v>
      </c>
      <c r="I6" s="403">
        <v>61538322</v>
      </c>
      <c r="J6" s="403">
        <v>62105887</v>
      </c>
      <c r="K6" s="403">
        <f>'[2]2009'!$H$102</f>
        <v>62465709</v>
      </c>
      <c r="L6" s="403">
        <f>'[2]2010'!$H$102</f>
        <v>62765235</v>
      </c>
      <c r="M6" s="403">
        <f>'[2]2011'!$H$102</f>
        <v>63070344</v>
      </c>
      <c r="N6" s="403">
        <v>63703191</v>
      </c>
      <c r="O6" s="403">
        <v>63928608</v>
      </c>
      <c r="P6" s="403">
        <v>64204247</v>
      </c>
      <c r="Q6" s="403">
        <v>64513242</v>
      </c>
      <c r="R6" s="403">
        <v>64859599</v>
      </c>
      <c r="S6" s="404">
        <f>'[3]2017'!$H$102</f>
        <v>64639133</v>
      </c>
      <c r="T6" s="404">
        <f>'[3]2018'!$H$102</f>
        <v>64737769</v>
      </c>
      <c r="U6" s="404">
        <f>'[4]2019'!$H$102</f>
        <v>64988222</v>
      </c>
      <c r="V6" s="404">
        <v>65447454</v>
      </c>
      <c r="W6" s="404">
        <v>65627454</v>
      </c>
      <c r="X6" s="404">
        <f>'[2]2022'!$H$102</f>
        <v>65721831</v>
      </c>
      <c r="Y6" s="404">
        <f>'[5]2023'!$H$102</f>
        <v>66017385</v>
      </c>
    </row>
    <row r="7" spans="1:26" s="67" customFormat="1" x14ac:dyDescent="0.25">
      <c r="A7" s="65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26" x14ac:dyDescent="0.25"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26" ht="13" x14ac:dyDescent="0.3">
      <c r="A9" s="3" t="s">
        <v>95</v>
      </c>
      <c r="B9" s="399">
        <v>2000</v>
      </c>
      <c r="C9" s="399">
        <f t="shared" ref="C9:J9" si="4">+B9+1</f>
        <v>2001</v>
      </c>
      <c r="D9" s="399">
        <f t="shared" si="4"/>
        <v>2002</v>
      </c>
      <c r="E9" s="399">
        <f t="shared" si="4"/>
        <v>2003</v>
      </c>
      <c r="F9" s="399">
        <f t="shared" si="4"/>
        <v>2004</v>
      </c>
      <c r="G9" s="399">
        <f t="shared" si="4"/>
        <v>2005</v>
      </c>
      <c r="H9" s="399">
        <f t="shared" si="4"/>
        <v>2006</v>
      </c>
      <c r="I9" s="399">
        <f t="shared" si="4"/>
        <v>2007</v>
      </c>
      <c r="J9" s="399">
        <f t="shared" si="4"/>
        <v>2008</v>
      </c>
      <c r="K9" s="399">
        <f t="shared" ref="K9:Q9" si="5">+J9+1</f>
        <v>2009</v>
      </c>
      <c r="L9" s="399">
        <f t="shared" si="5"/>
        <v>2010</v>
      </c>
      <c r="M9" s="399">
        <f t="shared" si="5"/>
        <v>2011</v>
      </c>
      <c r="N9" s="399">
        <f t="shared" si="5"/>
        <v>2012</v>
      </c>
      <c r="O9" s="399">
        <f t="shared" si="5"/>
        <v>2013</v>
      </c>
      <c r="P9" s="399">
        <f t="shared" si="5"/>
        <v>2014</v>
      </c>
      <c r="Q9" s="399">
        <f t="shared" si="5"/>
        <v>2015</v>
      </c>
      <c r="R9" s="399">
        <f>+Q9+1</f>
        <v>2016</v>
      </c>
      <c r="S9" s="399">
        <f t="shared" ref="S9" si="6">+R9+1</f>
        <v>2017</v>
      </c>
      <c r="T9" s="399">
        <f t="shared" ref="T9" si="7">+S9+1</f>
        <v>2018</v>
      </c>
      <c r="U9" s="399">
        <v>2019</v>
      </c>
      <c r="V9" s="399">
        <v>2020</v>
      </c>
      <c r="W9" s="399">
        <f>W1</f>
        <v>2021</v>
      </c>
      <c r="X9" s="399">
        <f>X1</f>
        <v>2022</v>
      </c>
      <c r="Y9" s="399">
        <v>2023</v>
      </c>
    </row>
    <row r="10" spans="1:26" x14ac:dyDescent="0.25">
      <c r="A10" s="399" t="s">
        <v>0</v>
      </c>
      <c r="B10" s="52">
        <f t="shared" ref="B10:T10" si="8">B2/B$6</f>
        <v>1.1206866595145299E-2</v>
      </c>
      <c r="C10" s="52">
        <f t="shared" si="8"/>
        <v>1.142164542425903E-2</v>
      </c>
      <c r="D10" s="52">
        <f t="shared" si="8"/>
        <v>1.137733525945599E-2</v>
      </c>
      <c r="E10" s="52">
        <f t="shared" si="8"/>
        <v>1.2386530664479279E-2</v>
      </c>
      <c r="F10" s="52">
        <f t="shared" si="8"/>
        <v>1.199976256008916E-2</v>
      </c>
      <c r="G10" s="52">
        <f t="shared" si="8"/>
        <v>1.1889371146732429E-2</v>
      </c>
      <c r="H10" s="52">
        <f t="shared" si="8"/>
        <v>1.1695032970651966E-2</v>
      </c>
      <c r="I10" s="52">
        <f t="shared" si="8"/>
        <v>1.1563509970258857E-2</v>
      </c>
      <c r="J10" s="52">
        <f t="shared" si="8"/>
        <v>1.1468783949579529E-2</v>
      </c>
      <c r="K10" s="52">
        <f>K2/K$6</f>
        <v>1.1460845789110111E-2</v>
      </c>
      <c r="L10" s="52">
        <f t="shared" si="8"/>
        <v>1.1309479435166152E-2</v>
      </c>
      <c r="M10" s="52">
        <f t="shared" si="8"/>
        <v>1.0850586089188423E-2</v>
      </c>
      <c r="N10" s="52">
        <f t="shared" si="8"/>
        <v>1.0728332274595161E-2</v>
      </c>
      <c r="O10" s="52">
        <f t="shared" si="8"/>
        <v>1.0816221745356945E-2</v>
      </c>
      <c r="P10" s="52">
        <f t="shared" si="8"/>
        <v>1.1107536235102952E-2</v>
      </c>
      <c r="Q10" s="52">
        <f t="shared" si="8"/>
        <v>1.1221975172166979E-2</v>
      </c>
      <c r="R10" s="52">
        <f t="shared" si="8"/>
        <v>1.1308919748332086E-2</v>
      </c>
      <c r="S10" s="52">
        <f t="shared" si="8"/>
        <v>1.1402164072961808E-2</v>
      </c>
      <c r="T10" s="52">
        <f t="shared" si="8"/>
        <v>1.162791074866976E-2</v>
      </c>
      <c r="U10" s="52">
        <f>U2/U$6</f>
        <v>1.2128659251517914E-2</v>
      </c>
      <c r="V10" s="52">
        <f>V2/V$6</f>
        <v>1.2073655302160417E-2</v>
      </c>
      <c r="W10" s="52">
        <f>W2/W$6</f>
        <v>1.2517627150369113E-2</v>
      </c>
      <c r="X10" s="52">
        <f>X2/X$6</f>
        <v>1.2722682665368834E-2</v>
      </c>
      <c r="Y10" s="52">
        <f>Y2/Y$6</f>
        <v>1.2530017661256955E-2</v>
      </c>
    </row>
    <row r="11" spans="1:26" x14ac:dyDescent="0.25">
      <c r="A11" s="399" t="s">
        <v>1</v>
      </c>
      <c r="B11" s="52">
        <f t="shared" ref="B11:T11" si="9">B3/B$6</f>
        <v>1.1673837070448037E-2</v>
      </c>
      <c r="C11" s="52">
        <f t="shared" si="9"/>
        <v>1.1416025092267539E-2</v>
      </c>
      <c r="D11" s="52">
        <f t="shared" si="9"/>
        <v>1.0989066800009493E-2</v>
      </c>
      <c r="E11" s="52">
        <f t="shared" si="9"/>
        <v>1.0600918021590603E-2</v>
      </c>
      <c r="F11" s="52">
        <f t="shared" si="9"/>
        <v>1.028637790394378E-2</v>
      </c>
      <c r="G11" s="52">
        <f t="shared" si="9"/>
        <v>9.9705384299219064E-3</v>
      </c>
      <c r="H11" s="52">
        <f t="shared" si="9"/>
        <v>9.5546242373030273E-3</v>
      </c>
      <c r="I11" s="52">
        <f t="shared" si="9"/>
        <v>9.2045083712227315E-3</v>
      </c>
      <c r="J11" s="52">
        <f t="shared" si="9"/>
        <v>8.8901878174608463E-3</v>
      </c>
      <c r="K11" s="52">
        <f t="shared" si="9"/>
        <v>8.600286598844176E-3</v>
      </c>
      <c r="L11" s="52">
        <f t="shared" si="9"/>
        <v>8.4182748618721812E-3</v>
      </c>
      <c r="M11" s="52">
        <f t="shared" si="9"/>
        <v>8.2207733003644319E-3</v>
      </c>
      <c r="N11" s="52">
        <f t="shared" si="9"/>
        <v>8.0543061021856825E-3</v>
      </c>
      <c r="O11" s="52">
        <f t="shared" si="9"/>
        <v>7.8917720216901948E-3</v>
      </c>
      <c r="P11" s="52">
        <f t="shared" si="9"/>
        <v>7.7207665094179831E-3</v>
      </c>
      <c r="Q11" s="52">
        <f t="shared" si="9"/>
        <v>7.5245947180890395E-3</v>
      </c>
      <c r="R11" s="52">
        <f t="shared" si="9"/>
        <v>7.3634898667813229E-3</v>
      </c>
      <c r="S11" s="52">
        <f t="shared" si="9"/>
        <v>7.2688165542071862E-3</v>
      </c>
      <c r="T11" s="52">
        <f t="shared" si="9"/>
        <v>7.1155216980059973E-3</v>
      </c>
      <c r="U11" s="52">
        <f t="shared" ref="U11:V11" si="10">U3/U$6</f>
        <v>6.9307481592587655E-3</v>
      </c>
      <c r="V11" s="52">
        <f t="shared" si="10"/>
        <v>6.7692931187208595E-3</v>
      </c>
      <c r="W11" s="52">
        <f t="shared" ref="W11" si="11">W3/W$6</f>
        <v>6.6567110770440674E-3</v>
      </c>
      <c r="X11" s="52">
        <f t="shared" ref="X11:Y11" si="12">X3/X$6</f>
        <v>6.5439594949812038E-3</v>
      </c>
      <c r="Y11" s="52">
        <f t="shared" si="12"/>
        <v>6.3828792976274359E-3</v>
      </c>
    </row>
    <row r="12" spans="1:26" x14ac:dyDescent="0.25">
      <c r="A12" s="399" t="s">
        <v>2</v>
      </c>
      <c r="B12" s="52">
        <f t="shared" ref="B12:T12" si="13">B4/B$6</f>
        <v>0.26191862655862502</v>
      </c>
      <c r="C12" s="52">
        <f t="shared" si="13"/>
        <v>0.26671028921941503</v>
      </c>
      <c r="D12" s="52">
        <f t="shared" si="13"/>
        <v>0.27661276567157034</v>
      </c>
      <c r="E12" s="52">
        <f t="shared" si="13"/>
        <v>0.32657687538064928</v>
      </c>
      <c r="F12" s="52">
        <f t="shared" si="13"/>
        <v>0.32601774947684575</v>
      </c>
      <c r="G12" s="52">
        <f t="shared" si="13"/>
        <v>0.32546579531442665</v>
      </c>
      <c r="H12" s="52">
        <f t="shared" si="13"/>
        <v>0.32288841162942877</v>
      </c>
      <c r="I12" s="52">
        <f t="shared" si="13"/>
        <v>0.32246225368316023</v>
      </c>
      <c r="J12" s="52">
        <f t="shared" si="13"/>
        <v>0.33003504160563718</v>
      </c>
      <c r="K12" s="52">
        <f t="shared" si="13"/>
        <v>0.3298329912670489</v>
      </c>
      <c r="L12" s="52">
        <f t="shared" si="13"/>
        <v>0.33314885991564419</v>
      </c>
      <c r="M12" s="52">
        <f t="shared" si="13"/>
        <v>0.3331941712574138</v>
      </c>
      <c r="N12" s="52">
        <f t="shared" si="13"/>
        <v>0.33077650694138699</v>
      </c>
      <c r="O12" s="52">
        <f t="shared" si="13"/>
        <v>0.3305893349030844</v>
      </c>
      <c r="P12" s="52">
        <f t="shared" si="13"/>
        <v>0.32991552723918716</v>
      </c>
      <c r="Q12" s="52">
        <f t="shared" si="13"/>
        <v>0.34041612728127973</v>
      </c>
      <c r="R12" s="52">
        <f t="shared" si="13"/>
        <v>0.33980120660320456</v>
      </c>
      <c r="S12" s="52">
        <f t="shared" si="13"/>
        <v>0.35040230196156869</v>
      </c>
      <c r="T12" s="52">
        <f t="shared" si="13"/>
        <v>0.35460346185238484</v>
      </c>
      <c r="U12" s="52">
        <f t="shared" ref="U12:V12" si="14">U4/U$6</f>
        <v>0.35742413448393773</v>
      </c>
      <c r="V12" s="52">
        <f t="shared" si="14"/>
        <v>0.35028806468162993</v>
      </c>
      <c r="W12" s="52">
        <f t="shared" ref="W12" si="15">W4/W$6</f>
        <v>0.36679016985787688</v>
      </c>
      <c r="X12" s="52">
        <f t="shared" ref="X12:Y12" si="16">X4/X$6</f>
        <v>0.36982661058241056</v>
      </c>
      <c r="Y12" s="52">
        <f t="shared" si="16"/>
        <v>0.37227334890650393</v>
      </c>
    </row>
    <row r="13" spans="1:26" x14ac:dyDescent="0.25">
      <c r="A13" s="420" t="str">
        <f>A5</f>
        <v>SSI</v>
      </c>
      <c r="B13" s="446">
        <f t="shared" ref="B13:T13" si="17">B5/B$6</f>
        <v>1.8915303423331479E-2</v>
      </c>
      <c r="C13" s="446">
        <f t="shared" si="17"/>
        <v>1.9054900162397213E-2</v>
      </c>
      <c r="D13" s="446">
        <f t="shared" si="17"/>
        <v>1.8864359342291602E-2</v>
      </c>
      <c r="E13" s="446">
        <f t="shared" si="17"/>
        <v>1.9290779683725008E-2</v>
      </c>
      <c r="F13" s="446">
        <f t="shared" si="17"/>
        <v>1.9869268125546038E-2</v>
      </c>
      <c r="G13" s="446">
        <f t="shared" si="17"/>
        <v>2.0493070283600492E-2</v>
      </c>
      <c r="H13" s="446">
        <f t="shared" si="17"/>
        <v>2.0093066139679448E-2</v>
      </c>
      <c r="I13" s="446">
        <f t="shared" si="17"/>
        <v>2.0690668166090068E-2</v>
      </c>
      <c r="J13" s="446">
        <f t="shared" si="17"/>
        <v>2.161073715926479E-2</v>
      </c>
      <c r="K13" s="446">
        <f t="shared" si="17"/>
        <v>2.1501981151273945E-2</v>
      </c>
      <c r="L13" s="446">
        <f t="shared" si="17"/>
        <v>2.2909593184825962E-2</v>
      </c>
      <c r="M13" s="446">
        <f t="shared" si="17"/>
        <v>2.3791487863242033E-2</v>
      </c>
      <c r="N13" s="446">
        <f t="shared" si="17"/>
        <v>2.3044701167324568E-2</v>
      </c>
      <c r="O13" s="446">
        <f t="shared" si="17"/>
        <v>2.2834643920293086E-2</v>
      </c>
      <c r="P13" s="446">
        <f t="shared" si="17"/>
        <v>2.211905078491147E-2</v>
      </c>
      <c r="Q13" s="446">
        <f t="shared" si="17"/>
        <v>2.1623033609130975E-2</v>
      </c>
      <c r="R13" s="446">
        <f t="shared" si="17"/>
        <v>2.3711031577608118E-2</v>
      </c>
      <c r="S13" s="446">
        <f t="shared" si="17"/>
        <v>2.6059306828883366E-2</v>
      </c>
      <c r="T13" s="446">
        <f t="shared" si="17"/>
        <v>2.7086491040492915E-2</v>
      </c>
      <c r="U13" s="446">
        <f t="shared" ref="U13:V13" si="18">U5/U$6</f>
        <v>3.0765451622910993E-2</v>
      </c>
      <c r="V13" s="446">
        <f t="shared" si="18"/>
        <v>3.3223966206538759E-2</v>
      </c>
      <c r="W13" s="446">
        <f t="shared" ref="W13" si="19">W5/W$6</f>
        <v>3.7300563267317975E-2</v>
      </c>
      <c r="X13" s="446">
        <f t="shared" ref="X13:Y13" si="20">X5/X$6</f>
        <v>3.9837995383908281E-2</v>
      </c>
      <c r="Y13" s="446">
        <f t="shared" si="20"/>
        <v>4.1595134372559593E-2</v>
      </c>
    </row>
    <row r="14" spans="1:26" s="67" customForma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</row>
    <row r="15" spans="1:26" s="67" customFormat="1" x14ac:dyDescent="0.2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26" ht="13" x14ac:dyDescent="0.3">
      <c r="A16" s="3" t="s">
        <v>79</v>
      </c>
      <c r="B16" s="399">
        <v>2000</v>
      </c>
      <c r="C16" s="399">
        <f t="shared" ref="C16:J16" si="21">+B16+1</f>
        <v>2001</v>
      </c>
      <c r="D16" s="399">
        <f t="shared" si="21"/>
        <v>2002</v>
      </c>
      <c r="E16" s="399">
        <f t="shared" si="21"/>
        <v>2003</v>
      </c>
      <c r="F16" s="399">
        <f t="shared" si="21"/>
        <v>2004</v>
      </c>
      <c r="G16" s="399">
        <f t="shared" si="21"/>
        <v>2005</v>
      </c>
      <c r="H16" s="399">
        <f t="shared" si="21"/>
        <v>2006</v>
      </c>
      <c r="I16" s="399">
        <f t="shared" si="21"/>
        <v>2007</v>
      </c>
      <c r="J16" s="399">
        <f t="shared" si="21"/>
        <v>2008</v>
      </c>
      <c r="K16" s="399">
        <f t="shared" ref="K16:Q16" si="22">+J16+1</f>
        <v>2009</v>
      </c>
      <c r="L16" s="399">
        <f t="shared" si="22"/>
        <v>2010</v>
      </c>
      <c r="M16" s="399">
        <f t="shared" si="22"/>
        <v>2011</v>
      </c>
      <c r="N16" s="399">
        <f t="shared" si="22"/>
        <v>2012</v>
      </c>
      <c r="O16" s="399">
        <f t="shared" si="22"/>
        <v>2013</v>
      </c>
      <c r="P16" s="399">
        <f t="shared" si="22"/>
        <v>2014</v>
      </c>
      <c r="Q16" s="399">
        <f t="shared" si="22"/>
        <v>2015</v>
      </c>
      <c r="R16" s="399">
        <f>+Q16+1</f>
        <v>2016</v>
      </c>
      <c r="S16" s="399">
        <f t="shared" ref="S16:T16" si="23">+R16+1</f>
        <v>2017</v>
      </c>
      <c r="T16" s="399">
        <f t="shared" si="23"/>
        <v>2018</v>
      </c>
      <c r="U16" s="399">
        <v>2019</v>
      </c>
      <c r="V16" s="399">
        <v>2020</v>
      </c>
      <c r="W16" s="399">
        <f>W1</f>
        <v>2021</v>
      </c>
      <c r="X16" s="399">
        <f>X1</f>
        <v>2022</v>
      </c>
      <c r="Y16" s="399">
        <v>2023</v>
      </c>
      <c r="Z16" s="212" t="str">
        <f>Z1</f>
        <v>évol 2023/2000</v>
      </c>
    </row>
    <row r="17" spans="1:26" x14ac:dyDescent="0.25">
      <c r="A17" s="399" t="s">
        <v>0</v>
      </c>
      <c r="B17" s="2">
        <v>1497643</v>
      </c>
      <c r="C17" s="2">
        <v>1521309</v>
      </c>
      <c r="D17" s="2">
        <v>1538120</v>
      </c>
      <c r="E17" s="2">
        <v>1555566</v>
      </c>
      <c r="F17" s="2">
        <v>1560620</v>
      </c>
      <c r="G17" s="2">
        <v>1568923</v>
      </c>
      <c r="H17" s="2">
        <v>1562663</v>
      </c>
      <c r="I17" s="2">
        <v>1557322</v>
      </c>
      <c r="J17" s="2">
        <v>1550431</v>
      </c>
      <c r="K17" s="2">
        <v>1546179</v>
      </c>
      <c r="L17" s="2">
        <v>1532610</v>
      </c>
      <c r="M17" s="2">
        <v>1549282</v>
      </c>
      <c r="N17" s="2">
        <v>1561833</v>
      </c>
      <c r="O17" s="2">
        <v>1578933</v>
      </c>
      <c r="P17" s="2">
        <v>1606041</v>
      </c>
      <c r="Q17" s="2">
        <v>1627138.1018825478</v>
      </c>
      <c r="R17" s="2">
        <v>1650636</v>
      </c>
      <c r="S17" s="2">
        <v>1665372</v>
      </c>
      <c r="T17" s="2">
        <v>1685926</v>
      </c>
      <c r="U17" s="2">
        <v>1701721</v>
      </c>
      <c r="V17" s="282">
        <v>1710286</v>
      </c>
      <c r="W17" s="282">
        <v>1679951</v>
      </c>
      <c r="X17" s="282">
        <v>1655898</v>
      </c>
      <c r="Y17" s="282">
        <v>1621516</v>
      </c>
      <c r="Z17" s="405">
        <f>Y17/B17-1</f>
        <v>8.2711968072497921E-2</v>
      </c>
    </row>
    <row r="18" spans="1:26" x14ac:dyDescent="0.25">
      <c r="A18" s="399" t="s">
        <v>1</v>
      </c>
      <c r="B18" s="2">
        <v>1725656</v>
      </c>
      <c r="C18" s="2">
        <v>1720114</v>
      </c>
      <c r="D18" s="2">
        <v>1711269</v>
      </c>
      <c r="E18" s="2">
        <v>1695113</v>
      </c>
      <c r="F18" s="2">
        <v>1681328</v>
      </c>
      <c r="G18" s="2">
        <v>1657008</v>
      </c>
      <c r="H18" s="2">
        <v>1619880</v>
      </c>
      <c r="I18" s="2">
        <v>1585034</v>
      </c>
      <c r="J18" s="2">
        <v>1546551</v>
      </c>
      <c r="K18" s="2">
        <v>1494524</v>
      </c>
      <c r="L18" s="2">
        <v>1455707</v>
      </c>
      <c r="M18" s="2">
        <v>1422009</v>
      </c>
      <c r="N18" s="2">
        <v>1393433</v>
      </c>
      <c r="O18" s="2">
        <v>1361021</v>
      </c>
      <c r="P18" s="2">
        <v>1332265</v>
      </c>
      <c r="Q18" s="2">
        <v>1297304.0902824686</v>
      </c>
      <c r="R18" s="2">
        <v>1262089</v>
      </c>
      <c r="S18" s="2">
        <v>1222252</v>
      </c>
      <c r="T18" s="2">
        <v>1181655</v>
      </c>
      <c r="U18" s="2">
        <v>1142251</v>
      </c>
      <c r="V18" s="282">
        <v>1105362</v>
      </c>
      <c r="W18" s="282">
        <v>1062308</v>
      </c>
      <c r="X18" s="282">
        <v>1023825</v>
      </c>
      <c r="Y18" s="282">
        <v>989168</v>
      </c>
      <c r="Z18" s="405">
        <f>Y18/B18-1</f>
        <v>-0.42678726235124498</v>
      </c>
    </row>
    <row r="19" spans="1:26" x14ac:dyDescent="0.25">
      <c r="A19" s="399" t="s">
        <v>2</v>
      </c>
      <c r="B19" s="2">
        <v>7247214</v>
      </c>
      <c r="C19" s="2">
        <v>7447331</v>
      </c>
      <c r="D19" s="2">
        <v>7640068</v>
      </c>
      <c r="E19" s="2">
        <v>7829478</v>
      </c>
      <c r="F19" s="2">
        <v>7991239</v>
      </c>
      <c r="G19" s="2">
        <v>8182849</v>
      </c>
      <c r="H19" s="2">
        <v>8366315</v>
      </c>
      <c r="I19" s="2">
        <v>8529343</v>
      </c>
      <c r="J19" s="2">
        <v>8707276</v>
      </c>
      <c r="K19" s="2">
        <v>8900883</v>
      </c>
      <c r="L19" s="2">
        <v>9101064</v>
      </c>
      <c r="M19" s="2">
        <v>9364530</v>
      </c>
      <c r="N19" s="2">
        <v>9709081</v>
      </c>
      <c r="O19" s="2">
        <v>10056212</v>
      </c>
      <c r="P19" s="2">
        <v>10421561</v>
      </c>
      <c r="Q19" s="2">
        <v>10744163.724420674</v>
      </c>
      <c r="R19" s="2">
        <v>11064931</v>
      </c>
      <c r="S19" s="2">
        <v>11288191</v>
      </c>
      <c r="T19" s="2">
        <v>11546822</v>
      </c>
      <c r="U19" s="2">
        <v>11807198</v>
      </c>
      <c r="V19" s="282">
        <v>12044595</v>
      </c>
      <c r="W19" s="282">
        <v>12146584</v>
      </c>
      <c r="X19" s="282">
        <v>12306135</v>
      </c>
      <c r="Y19" s="282">
        <v>12499703</v>
      </c>
    </row>
    <row r="20" spans="1:26" x14ac:dyDescent="0.25">
      <c r="A20" s="420" t="str">
        <f>A5</f>
        <v>SSI</v>
      </c>
      <c r="B20" s="434">
        <v>986939</v>
      </c>
      <c r="C20" s="434">
        <v>1006711</v>
      </c>
      <c r="D20" s="434">
        <v>1018645</v>
      </c>
      <c r="E20" s="434">
        <v>1031909</v>
      </c>
      <c r="F20" s="434">
        <v>1044421</v>
      </c>
      <c r="G20" s="434">
        <v>1064879</v>
      </c>
      <c r="H20" s="434">
        <v>1078320</v>
      </c>
      <c r="I20" s="434">
        <v>1095392</v>
      </c>
      <c r="J20" s="434">
        <v>1114947</v>
      </c>
      <c r="K20" s="434">
        <v>1136601.4932127125</v>
      </c>
      <c r="L20" s="434">
        <v>1159216.5745917019</v>
      </c>
      <c r="M20" s="434">
        <f>[6]DonnéesGraph!$M$17</f>
        <v>1191018</v>
      </c>
      <c r="N20" s="434">
        <f>[6]DonnéesGraph!$N$17</f>
        <v>1235919</v>
      </c>
      <c r="O20" s="434">
        <f>[6]DonnéesGraph!$O$17</f>
        <v>1277827</v>
      </c>
      <c r="P20" s="434">
        <f>[6]DonnéesGraph!$P$17</f>
        <v>1322630</v>
      </c>
      <c r="Q20" s="434">
        <f>[6]DonnéesGraph!$Q$17</f>
        <v>1367815.095094641</v>
      </c>
      <c r="R20" s="434">
        <f>832089+579574</f>
        <v>1411663</v>
      </c>
      <c r="S20" s="434">
        <v>1446443</v>
      </c>
      <c r="T20" s="434">
        <v>1414336</v>
      </c>
      <c r="U20" s="434">
        <v>1449731</v>
      </c>
      <c r="V20" s="447">
        <v>1476579</v>
      </c>
      <c r="W20" s="447">
        <v>1485246</v>
      </c>
      <c r="X20" s="447">
        <v>1415678</v>
      </c>
      <c r="Y20" s="447">
        <v>1375526</v>
      </c>
    </row>
    <row r="22" spans="1:26" s="67" customFormat="1" x14ac:dyDescent="0.2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2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6" ht="13" x14ac:dyDescent="0.3">
      <c r="A24" s="3" t="s">
        <v>96</v>
      </c>
      <c r="B24" s="399">
        <v>2000</v>
      </c>
      <c r="C24" s="399">
        <f t="shared" ref="C24:J24" si="24">+B24+1</f>
        <v>2001</v>
      </c>
      <c r="D24" s="399">
        <f t="shared" si="24"/>
        <v>2002</v>
      </c>
      <c r="E24" s="399">
        <f t="shared" si="24"/>
        <v>2003</v>
      </c>
      <c r="F24" s="399">
        <f t="shared" si="24"/>
        <v>2004</v>
      </c>
      <c r="G24" s="399">
        <f t="shared" si="24"/>
        <v>2005</v>
      </c>
      <c r="H24" s="399">
        <f t="shared" si="24"/>
        <v>2006</v>
      </c>
      <c r="I24" s="399">
        <f t="shared" si="24"/>
        <v>2007</v>
      </c>
      <c r="J24" s="399">
        <f t="shared" si="24"/>
        <v>2008</v>
      </c>
      <c r="K24" s="399">
        <f t="shared" ref="K24:R24" si="25">+J24+1</f>
        <v>2009</v>
      </c>
      <c r="L24" s="399">
        <f t="shared" si="25"/>
        <v>2010</v>
      </c>
      <c r="M24" s="399">
        <f t="shared" si="25"/>
        <v>2011</v>
      </c>
      <c r="N24" s="399">
        <f t="shared" si="25"/>
        <v>2012</v>
      </c>
      <c r="O24" s="399">
        <f t="shared" si="25"/>
        <v>2013</v>
      </c>
      <c r="P24" s="399">
        <f t="shared" si="25"/>
        <v>2014</v>
      </c>
      <c r="Q24" s="399">
        <f t="shared" si="25"/>
        <v>2015</v>
      </c>
      <c r="R24" s="399">
        <f t="shared" si="25"/>
        <v>2016</v>
      </c>
      <c r="S24" s="399">
        <f t="shared" ref="S24" si="26">+R24+1</f>
        <v>2017</v>
      </c>
      <c r="T24" s="399">
        <f t="shared" ref="T24" si="27">+S24+1</f>
        <v>2018</v>
      </c>
      <c r="U24" s="399">
        <v>2019</v>
      </c>
      <c r="V24" s="399">
        <v>2020</v>
      </c>
      <c r="W24" s="399">
        <f>W1</f>
        <v>2021</v>
      </c>
      <c r="X24" s="399">
        <f>X1</f>
        <v>2022</v>
      </c>
      <c r="Y24" s="399">
        <v>2023</v>
      </c>
    </row>
    <row r="25" spans="1:26" x14ac:dyDescent="0.25">
      <c r="A25" s="399" t="s">
        <v>0</v>
      </c>
      <c r="B25" s="52">
        <f t="shared" ref="B25:R25" si="28">B17/B$6</f>
        <v>2.5448675941334806E-2</v>
      </c>
      <c r="C25" s="52">
        <f t="shared" si="28"/>
        <v>2.567646138631919E-2</v>
      </c>
      <c r="D25" s="52">
        <f t="shared" si="28"/>
        <v>2.5781535263505621E-2</v>
      </c>
      <c r="E25" s="52">
        <f t="shared" si="28"/>
        <v>2.5897276762584524E-2</v>
      </c>
      <c r="F25" s="52">
        <f t="shared" si="28"/>
        <v>2.5811749349128346E-2</v>
      </c>
      <c r="G25" s="52">
        <f t="shared" si="28"/>
        <v>2.5794048499794494E-2</v>
      </c>
      <c r="H25" s="52">
        <f t="shared" si="28"/>
        <v>2.5547559099931658E-2</v>
      </c>
      <c r="I25" s="52">
        <f t="shared" si="28"/>
        <v>2.5306539882579183E-2</v>
      </c>
      <c r="J25" s="52">
        <f t="shared" si="28"/>
        <v>2.4964316184712086E-2</v>
      </c>
      <c r="K25" s="52">
        <f t="shared" ref="K25:M25" si="29">K17/K$6</f>
        <v>2.4752444577231966E-2</v>
      </c>
      <c r="L25" s="52">
        <f t="shared" si="29"/>
        <v>2.4418135294164037E-2</v>
      </c>
      <c r="M25" s="52">
        <f t="shared" si="29"/>
        <v>2.456434992648843E-2</v>
      </c>
      <c r="N25" s="52">
        <f t="shared" si="28"/>
        <v>2.4517343252082928E-2</v>
      </c>
      <c r="O25" s="52">
        <f t="shared" si="28"/>
        <v>2.4698379166960743E-2</v>
      </c>
      <c r="P25" s="52">
        <f t="shared" si="28"/>
        <v>2.5014560173877595E-2</v>
      </c>
      <c r="Q25" s="52">
        <f t="shared" si="28"/>
        <v>2.5221769228130683E-2</v>
      </c>
      <c r="R25" s="52">
        <f t="shared" si="28"/>
        <v>2.544937103295998E-2</v>
      </c>
      <c r="S25" s="52">
        <f t="shared" ref="S25:T25" si="30">S17/S$6</f>
        <v>2.5764145072923548E-2</v>
      </c>
      <c r="T25" s="52">
        <f t="shared" si="30"/>
        <v>2.6042386477668083E-2</v>
      </c>
      <c r="U25" s="52">
        <f t="shared" ref="U25:V25" si="31">U17/U$6</f>
        <v>2.618506781121047E-2</v>
      </c>
      <c r="V25" s="52">
        <f t="shared" si="31"/>
        <v>2.61322006506166E-2</v>
      </c>
      <c r="W25" s="52">
        <f t="shared" ref="W25:Y26" si="32">W17/W$6</f>
        <v>2.5598296103335045E-2</v>
      </c>
      <c r="X25" s="52">
        <f t="shared" si="32"/>
        <v>2.5195554883429831E-2</v>
      </c>
      <c r="Y25" s="52">
        <f t="shared" si="32"/>
        <v>2.4561954400344699E-2</v>
      </c>
    </row>
    <row r="26" spans="1:26" x14ac:dyDescent="0.25">
      <c r="A26" s="399" t="s">
        <v>1</v>
      </c>
      <c r="B26" s="52">
        <f t="shared" ref="B26:R26" si="33">B18/B$6</f>
        <v>2.9323183382301426E-2</v>
      </c>
      <c r="C26" s="52">
        <f t="shared" si="33"/>
        <v>2.9031867096735147E-2</v>
      </c>
      <c r="D26" s="52">
        <f t="shared" si="33"/>
        <v>2.8683810150602035E-2</v>
      </c>
      <c r="E26" s="52">
        <f t="shared" si="33"/>
        <v>2.8220474415649954E-2</v>
      </c>
      <c r="F26" s="52">
        <f t="shared" si="33"/>
        <v>2.7808189635959598E-2</v>
      </c>
      <c r="G26" s="52">
        <f t="shared" si="33"/>
        <v>2.7242219482120838E-2</v>
      </c>
      <c r="H26" s="52">
        <f t="shared" si="33"/>
        <v>2.6482984517325423E-2</v>
      </c>
      <c r="I26" s="52">
        <f t="shared" si="33"/>
        <v>2.5756860903682097E-2</v>
      </c>
      <c r="J26" s="52">
        <f t="shared" si="33"/>
        <v>2.4901842235986422E-2</v>
      </c>
      <c r="K26" s="52">
        <f t="shared" ref="K26:M26" si="34">K18/K$6</f>
        <v>2.3925510875094685E-2</v>
      </c>
      <c r="L26" s="52">
        <f t="shared" si="34"/>
        <v>2.3192886954059837E-2</v>
      </c>
      <c r="M26" s="52">
        <f t="shared" si="34"/>
        <v>2.2546396766125139E-2</v>
      </c>
      <c r="N26" s="52">
        <f t="shared" si="33"/>
        <v>2.1873833604348015E-2</v>
      </c>
      <c r="O26" s="52">
        <f t="shared" si="33"/>
        <v>2.1289701787343782E-2</v>
      </c>
      <c r="P26" s="52">
        <f t="shared" si="33"/>
        <v>2.075041858212277E-2</v>
      </c>
      <c r="Q26" s="52">
        <f t="shared" si="33"/>
        <v>2.0109113262087627E-2</v>
      </c>
      <c r="R26" s="52">
        <f t="shared" si="33"/>
        <v>1.9458785121381956E-2</v>
      </c>
      <c r="S26" s="52">
        <f t="shared" ref="S26" si="35">S18/S$6</f>
        <v>1.8908855104848018E-2</v>
      </c>
      <c r="T26" s="52">
        <f>T18/T$6</f>
        <v>1.8252945973470294E-2</v>
      </c>
      <c r="U26" s="52">
        <f>U18/U$6</f>
        <v>1.75762771291081E-2</v>
      </c>
      <c r="V26" s="52">
        <f>V18/V$6</f>
        <v>1.6889304815432545E-2</v>
      </c>
      <c r="W26" s="52">
        <f t="shared" si="32"/>
        <v>1.6186945176937688E-2</v>
      </c>
      <c r="X26" s="52">
        <f t="shared" si="32"/>
        <v>1.557815697496316E-2</v>
      </c>
      <c r="Y26" s="52">
        <f t="shared" si="32"/>
        <v>1.4983447163197997E-2</v>
      </c>
    </row>
    <row r="27" spans="1:26" x14ac:dyDescent="0.25">
      <c r="A27" s="399" t="s">
        <v>2</v>
      </c>
      <c r="B27" s="52">
        <f t="shared" ref="B27:R27" si="36">B19/B$6</f>
        <v>0.12314817387288211</v>
      </c>
      <c r="C27" s="52">
        <f t="shared" si="36"/>
        <v>0.12569511312470896</v>
      </c>
      <c r="D27" s="52">
        <f t="shared" si="36"/>
        <v>0.12806067313186284</v>
      </c>
      <c r="E27" s="52">
        <f t="shared" si="36"/>
        <v>0.13034622682198424</v>
      </c>
      <c r="F27" s="52">
        <f t="shared" si="36"/>
        <v>0.13217045664990776</v>
      </c>
      <c r="G27" s="52">
        <f t="shared" si="36"/>
        <v>0.13453101520756269</v>
      </c>
      <c r="H27" s="52">
        <f t="shared" si="36"/>
        <v>0.13677864447494101</v>
      </c>
      <c r="I27" s="52">
        <f t="shared" si="36"/>
        <v>0.13860213803034799</v>
      </c>
      <c r="J27" s="52">
        <f t="shared" si="36"/>
        <v>0.14020049339284052</v>
      </c>
      <c r="K27" s="52">
        <f t="shared" ref="K27:M27" si="37">K19/K$6</f>
        <v>0.14249230725933168</v>
      </c>
      <c r="L27" s="52">
        <f t="shared" si="37"/>
        <v>0.14500167170568229</v>
      </c>
      <c r="M27" s="52">
        <f t="shared" si="37"/>
        <v>0.14847754754595915</v>
      </c>
      <c r="N27" s="52">
        <f t="shared" si="36"/>
        <v>0.15241121908634059</v>
      </c>
      <c r="O27" s="52">
        <f t="shared" si="36"/>
        <v>0.15730378487202473</v>
      </c>
      <c r="P27" s="52">
        <f t="shared" si="36"/>
        <v>0.16231887276865034</v>
      </c>
      <c r="Q27" s="52">
        <f t="shared" si="36"/>
        <v>0.16654199031604511</v>
      </c>
      <c r="R27" s="52">
        <f t="shared" si="36"/>
        <v>0.17059820243415319</v>
      </c>
      <c r="S27" s="52">
        <f t="shared" ref="S27:T27" si="38">S19/S$6</f>
        <v>0.17463401001990544</v>
      </c>
      <c r="T27" s="52">
        <f t="shared" si="38"/>
        <v>0.17836298930845146</v>
      </c>
      <c r="U27" s="52">
        <f t="shared" ref="U27:V27" si="39">U19/U$6</f>
        <v>0.181682120800289</v>
      </c>
      <c r="V27" s="52">
        <f t="shared" si="39"/>
        <v>0.18403458444693663</v>
      </c>
      <c r="W27" s="52">
        <f t="shared" ref="W27" si="40">W19/W$6</f>
        <v>0.1850838827299319</v>
      </c>
      <c r="X27" s="52">
        <f t="shared" ref="X27:Y27" si="41">X19/X$6</f>
        <v>0.18724577226097064</v>
      </c>
      <c r="Y27" s="52">
        <f t="shared" si="41"/>
        <v>0.1893395656310834</v>
      </c>
    </row>
    <row r="28" spans="1:26" x14ac:dyDescent="0.25">
      <c r="A28" s="420" t="str">
        <f>A5</f>
        <v>SSI</v>
      </c>
      <c r="B28" s="446">
        <f t="shared" ref="B28:R28" si="42">B20/B$6</f>
        <v>1.6770545974484595E-2</v>
      </c>
      <c r="C28" s="446">
        <f t="shared" si="42"/>
        <v>1.6991141259719608E-2</v>
      </c>
      <c r="D28" s="446">
        <f t="shared" si="42"/>
        <v>1.7074241274083742E-2</v>
      </c>
      <c r="E28" s="446">
        <f t="shared" si="42"/>
        <v>1.7179362988649683E-2</v>
      </c>
      <c r="F28" s="446">
        <f t="shared" si="42"/>
        <v>1.7274117380890915E-2</v>
      </c>
      <c r="G28" s="446">
        <f t="shared" si="42"/>
        <v>1.7507258528565557E-2</v>
      </c>
      <c r="H28" s="446">
        <f t="shared" si="42"/>
        <v>1.762916503983156E-2</v>
      </c>
      <c r="I28" s="446">
        <f t="shared" si="42"/>
        <v>1.7800160361863621E-2</v>
      </c>
      <c r="J28" s="446">
        <f t="shared" si="42"/>
        <v>1.7952356110782219E-2</v>
      </c>
      <c r="K28" s="446">
        <f t="shared" ref="K28:M28" si="43">K20/K$6</f>
        <v>1.8195607020368768E-2</v>
      </c>
      <c r="L28" s="446">
        <f t="shared" si="43"/>
        <v>1.8469086821577291E-2</v>
      </c>
      <c r="M28" s="446">
        <f t="shared" si="43"/>
        <v>1.8883962326255901E-2</v>
      </c>
      <c r="N28" s="446">
        <f t="shared" si="42"/>
        <v>1.9401210215670359E-2</v>
      </c>
      <c r="O28" s="446">
        <f t="shared" si="42"/>
        <v>1.9988343872589874E-2</v>
      </c>
      <c r="P28" s="446">
        <f t="shared" si="42"/>
        <v>2.0600350627895378E-2</v>
      </c>
      <c r="Q28" s="446">
        <f t="shared" si="42"/>
        <v>2.1202082745967736E-2</v>
      </c>
      <c r="R28" s="446">
        <f t="shared" si="42"/>
        <v>2.1764904836984886E-2</v>
      </c>
      <c r="S28" s="446">
        <f t="shared" ref="S28:T28" si="44">S20/S$6</f>
        <v>2.237720298630862E-2</v>
      </c>
      <c r="T28" s="446">
        <f t="shared" si="44"/>
        <v>2.1847153861604345E-2</v>
      </c>
      <c r="U28" s="446">
        <f t="shared" ref="U28:V28" si="45">U20/U$6</f>
        <v>2.2307595982545884E-2</v>
      </c>
      <c r="V28" s="446">
        <f t="shared" si="45"/>
        <v>2.2561290161111539E-2</v>
      </c>
      <c r="W28" s="446">
        <f t="shared" ref="W28" si="46">W20/W$6</f>
        <v>2.263147371220587E-2</v>
      </c>
      <c r="X28" s="446">
        <f t="shared" ref="X28:Y28" si="47">X20/X$6</f>
        <v>2.1540452821528968E-2</v>
      </c>
      <c r="Y28" s="446">
        <f t="shared" si="47"/>
        <v>2.08358146872979E-2</v>
      </c>
    </row>
    <row r="30" spans="1:26" s="67" customFormat="1" x14ac:dyDescent="0.25">
      <c r="A30" s="65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26" s="67" customFormat="1" x14ac:dyDescent="0.25">
      <c r="A31" s="65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X31" s="396" t="s">
        <v>132</v>
      </c>
      <c r="Y31" s="396"/>
      <c r="Z31" s="396"/>
    </row>
    <row r="32" spans="1:26" ht="13" x14ac:dyDescent="0.3">
      <c r="A32" s="3" t="s">
        <v>5</v>
      </c>
      <c r="B32" s="399">
        <v>2000</v>
      </c>
      <c r="C32" s="399">
        <f t="shared" ref="C32:J32" si="48">+B32+1</f>
        <v>2001</v>
      </c>
      <c r="D32" s="399">
        <f t="shared" si="48"/>
        <v>2002</v>
      </c>
      <c r="E32" s="399">
        <f t="shared" si="48"/>
        <v>2003</v>
      </c>
      <c r="F32" s="399">
        <f t="shared" si="48"/>
        <v>2004</v>
      </c>
      <c r="G32" s="399">
        <f t="shared" si="48"/>
        <v>2005</v>
      </c>
      <c r="H32" s="399">
        <f t="shared" si="48"/>
        <v>2006</v>
      </c>
      <c r="I32" s="399">
        <f t="shared" si="48"/>
        <v>2007</v>
      </c>
      <c r="J32" s="399">
        <f t="shared" si="48"/>
        <v>2008</v>
      </c>
      <c r="K32" s="399">
        <f t="shared" ref="K32:R32" si="49">+J32+1</f>
        <v>2009</v>
      </c>
      <c r="L32" s="399">
        <f t="shared" si="49"/>
        <v>2010</v>
      </c>
      <c r="M32" s="399">
        <f t="shared" si="49"/>
        <v>2011</v>
      </c>
      <c r="N32" s="399">
        <f t="shared" si="49"/>
        <v>2012</v>
      </c>
      <c r="O32" s="399">
        <f t="shared" si="49"/>
        <v>2013</v>
      </c>
      <c r="P32" s="399">
        <f t="shared" si="49"/>
        <v>2014</v>
      </c>
      <c r="Q32" s="399">
        <f t="shared" si="49"/>
        <v>2015</v>
      </c>
      <c r="R32" s="399">
        <f t="shared" si="49"/>
        <v>2016</v>
      </c>
      <c r="S32" s="399">
        <f t="shared" ref="S32" si="50">+R32+1</f>
        <v>2017</v>
      </c>
      <c r="T32" s="399">
        <f t="shared" ref="T32:U32" si="51">+S32+1</f>
        <v>2018</v>
      </c>
      <c r="U32" s="399">
        <f t="shared" si="51"/>
        <v>2019</v>
      </c>
      <c r="V32" s="399">
        <v>2020</v>
      </c>
      <c r="W32" s="399">
        <f>W1</f>
        <v>2021</v>
      </c>
      <c r="X32" s="399">
        <f>X1</f>
        <v>2022</v>
      </c>
      <c r="Y32" s="399">
        <v>2023</v>
      </c>
    </row>
    <row r="33" spans="1:27" ht="13" x14ac:dyDescent="0.3">
      <c r="A33" s="399" t="s">
        <v>70</v>
      </c>
      <c r="B33" s="5">
        <f t="shared" ref="B33:R33" si="52">B19/B4</f>
        <v>0.4701772282900924</v>
      </c>
      <c r="C33" s="5">
        <f t="shared" si="52"/>
        <v>0.47127958014886762</v>
      </c>
      <c r="D33" s="5">
        <f t="shared" si="52"/>
        <v>0.4629600981030379</v>
      </c>
      <c r="E33" s="5">
        <f t="shared" si="52"/>
        <v>0.39912877073753666</v>
      </c>
      <c r="F33" s="5">
        <f t="shared" si="52"/>
        <v>0.40540877563261229</v>
      </c>
      <c r="G33" s="5">
        <f t="shared" si="52"/>
        <v>0.41334916646953546</v>
      </c>
      <c r="H33" s="5">
        <f t="shared" si="52"/>
        <v>0.42360964205776003</v>
      </c>
      <c r="I33" s="5">
        <f t="shared" si="52"/>
        <v>0.42982437927923633</v>
      </c>
      <c r="J33" s="5">
        <f t="shared" si="52"/>
        <v>0.42480487135777473</v>
      </c>
      <c r="K33" s="5">
        <f t="shared" si="52"/>
        <v>0.43201350693255219</v>
      </c>
      <c r="L33" s="5">
        <f t="shared" si="52"/>
        <v>0.43524588900708777</v>
      </c>
      <c r="M33" s="5">
        <f t="shared" si="52"/>
        <v>0.44561868230056995</v>
      </c>
      <c r="N33" s="142">
        <f t="shared" si="52"/>
        <v>0.46076796836526118</v>
      </c>
      <c r="O33" s="142">
        <f t="shared" si="52"/>
        <v>0.47582837152971053</v>
      </c>
      <c r="P33" s="142">
        <f t="shared" si="52"/>
        <v>0.49200131356948817</v>
      </c>
      <c r="Q33" s="142">
        <f t="shared" si="52"/>
        <v>0.48923061209269458</v>
      </c>
      <c r="R33" s="142">
        <f t="shared" si="52"/>
        <v>0.50205296249393694</v>
      </c>
      <c r="S33" s="142">
        <f t="shared" ref="S33" si="53">S19/S4</f>
        <v>0.49838145766250952</v>
      </c>
      <c r="T33" s="142">
        <f t="shared" ref="T33:Y33" si="54">T19/T4</f>
        <v>0.5029928032194475</v>
      </c>
      <c r="U33" s="142">
        <f t="shared" si="54"/>
        <v>0.50830960551281301</v>
      </c>
      <c r="V33" s="142">
        <f t="shared" si="54"/>
        <v>0.52538068807511928</v>
      </c>
      <c r="W33" s="142">
        <f t="shared" si="54"/>
        <v>0.50460426134552039</v>
      </c>
      <c r="X33" s="481">
        <f t="shared" si="54"/>
        <v>0.50630692033245561</v>
      </c>
      <c r="Y33" s="483">
        <f t="shared" si="54"/>
        <v>0.50860360051891818</v>
      </c>
      <c r="Z33" s="394"/>
      <c r="AA33" s="395"/>
    </row>
    <row r="34" spans="1:27" ht="13" x14ac:dyDescent="0.3">
      <c r="A34" s="399" t="s">
        <v>71</v>
      </c>
      <c r="B34" s="5">
        <f t="shared" ref="B34:R34" si="55">B17/B2</f>
        <v>2.2708110001379795</v>
      </c>
      <c r="C34" s="5">
        <f t="shared" si="55"/>
        <v>2.2480527483179973</v>
      </c>
      <c r="D34" s="5">
        <f t="shared" si="55"/>
        <v>2.2660433814744043</v>
      </c>
      <c r="E34" s="5">
        <f t="shared" si="55"/>
        <v>2.0907611230358363</v>
      </c>
      <c r="F34" s="5">
        <f t="shared" si="55"/>
        <v>2.1510216739602357</v>
      </c>
      <c r="G34" s="5">
        <f t="shared" si="55"/>
        <v>2.1695048612292251</v>
      </c>
      <c r="H34" s="5">
        <f t="shared" si="55"/>
        <v>2.1844794421735996</v>
      </c>
      <c r="I34" s="5">
        <f t="shared" si="55"/>
        <v>2.18848255829477</v>
      </c>
      <c r="J34" s="5">
        <f t="shared" si="55"/>
        <v>2.1767186734411657</v>
      </c>
      <c r="K34" s="5">
        <f t="shared" si="55"/>
        <v>2.1597397812255088</v>
      </c>
      <c r="L34" s="5">
        <f t="shared" si="55"/>
        <v>2.1590856974581256</v>
      </c>
      <c r="M34" s="5">
        <f t="shared" si="55"/>
        <v>2.2638730963080853</v>
      </c>
      <c r="N34" s="142">
        <f t="shared" si="55"/>
        <v>2.2852893277867929</v>
      </c>
      <c r="O34" s="142">
        <f t="shared" si="55"/>
        <v>2.283457176491686</v>
      </c>
      <c r="P34" s="142">
        <f t="shared" si="55"/>
        <v>2.2520349827736341</v>
      </c>
      <c r="Q34" s="142">
        <f t="shared" si="55"/>
        <v>2.2475338646877723</v>
      </c>
      <c r="R34" s="142">
        <f t="shared" si="55"/>
        <v>2.2503803722467319</v>
      </c>
      <c r="S34" s="142">
        <f t="shared" ref="S34" si="56">S17/S2</f>
        <v>2.2595837867320827</v>
      </c>
      <c r="T34" s="142">
        <f t="shared" ref="T34:Y34" si="57">T17/T2</f>
        <v>2.2396445105710283</v>
      </c>
      <c r="U34" s="142">
        <f t="shared" si="57"/>
        <v>2.1589416660323262</v>
      </c>
      <c r="V34" s="293">
        <f t="shared" si="57"/>
        <v>2.1643984358192334</v>
      </c>
      <c r="W34" s="142">
        <f t="shared" si="57"/>
        <v>2.0449799147900181</v>
      </c>
      <c r="X34" s="481">
        <f t="shared" si="57"/>
        <v>1.9803649549487059</v>
      </c>
      <c r="Y34" s="483">
        <f t="shared" si="57"/>
        <v>1.9602489848271094</v>
      </c>
      <c r="Z34" s="394"/>
      <c r="AA34" s="393"/>
    </row>
    <row r="35" spans="1:27" ht="13" x14ac:dyDescent="0.3">
      <c r="A35" s="399" t="s">
        <v>72</v>
      </c>
      <c r="B35" s="5">
        <f t="shared" ref="B35:R35" si="58">B18/B3</f>
        <v>2.5118719068413391</v>
      </c>
      <c r="C35" s="5">
        <f t="shared" si="58"/>
        <v>2.5430801756383152</v>
      </c>
      <c r="D35" s="5">
        <f t="shared" si="58"/>
        <v>2.6102134669503743</v>
      </c>
      <c r="E35" s="5">
        <f t="shared" si="58"/>
        <v>2.6620783556833549</v>
      </c>
      <c r="F35" s="5">
        <f t="shared" si="58"/>
        <v>2.7033995732645582</v>
      </c>
      <c r="G35" s="5">
        <f t="shared" si="58"/>
        <v>2.7322716494794363</v>
      </c>
      <c r="H35" s="5">
        <f t="shared" si="58"/>
        <v>2.7717452680065571</v>
      </c>
      <c r="I35" s="5">
        <f t="shared" si="58"/>
        <v>2.7982875200819164</v>
      </c>
      <c r="J35" s="5">
        <f t="shared" si="58"/>
        <v>2.8010479359139917</v>
      </c>
      <c r="K35" s="5">
        <f t="shared" si="58"/>
        <v>2.7819434387582067</v>
      </c>
      <c r="L35" s="5">
        <f t="shared" si="58"/>
        <v>2.7550641116631183</v>
      </c>
      <c r="M35" s="5">
        <f t="shared" si="58"/>
        <v>2.7426126402397744</v>
      </c>
      <c r="N35" s="142">
        <f t="shared" si="58"/>
        <v>2.7157936794098445</v>
      </c>
      <c r="O35" s="142">
        <f t="shared" si="58"/>
        <v>2.6977086678162969</v>
      </c>
      <c r="P35" s="142">
        <f t="shared" si="58"/>
        <v>2.6876112050287873</v>
      </c>
      <c r="Q35" s="142">
        <f t="shared" si="58"/>
        <v>2.6724513432923569</v>
      </c>
      <c r="R35" s="142">
        <f t="shared" si="58"/>
        <v>2.642603639500579</v>
      </c>
      <c r="S35" s="142">
        <f t="shared" ref="S35:T35" si="59">S18/S3</f>
        <v>2.6013663935298501</v>
      </c>
      <c r="T35" s="142">
        <f t="shared" si="59"/>
        <v>2.5652294727153131</v>
      </c>
      <c r="U35" s="142">
        <f t="shared" ref="U35:V35" si="60">U18/U3</f>
        <v>2.5359855422863702</v>
      </c>
      <c r="V35" s="293">
        <f t="shared" si="60"/>
        <v>2.4949879580076426</v>
      </c>
      <c r="W35" s="142">
        <f t="shared" ref="W35" si="61">W18/W3</f>
        <v>2.4316730874438899</v>
      </c>
      <c r="X35" s="481">
        <f t="shared" ref="X35" si="62">X18/X3</f>
        <v>2.3805399448010958</v>
      </c>
      <c r="Y35" s="483">
        <f>Y18/Y3</f>
        <v>2.3474432876660316</v>
      </c>
      <c r="Z35" s="394"/>
    </row>
    <row r="36" spans="1:27" ht="13" x14ac:dyDescent="0.3">
      <c r="A36" s="420" t="s">
        <v>103</v>
      </c>
      <c r="B36" s="448">
        <f t="shared" ref="B36:R36" si="63">B20/B5</f>
        <v>0.88661258025597467</v>
      </c>
      <c r="C36" s="448">
        <f t="shared" si="63"/>
        <v>0.89169405847897276</v>
      </c>
      <c r="D36" s="448">
        <f t="shared" si="63"/>
        <v>0.90510581166705018</v>
      </c>
      <c r="E36" s="448">
        <f t="shared" si="63"/>
        <v>0.89054788195747947</v>
      </c>
      <c r="F36" s="448">
        <f t="shared" si="63"/>
        <v>0.8693887098277906</v>
      </c>
      <c r="G36" s="448">
        <f t="shared" si="63"/>
        <v>0.85430139487569501</v>
      </c>
      <c r="H36" s="448">
        <f t="shared" si="63"/>
        <v>0.87737555419766333</v>
      </c>
      <c r="I36" s="448">
        <f t="shared" si="63"/>
        <v>0.86029896274864148</v>
      </c>
      <c r="J36" s="448">
        <f t="shared" si="63"/>
        <v>0.83071465718539006</v>
      </c>
      <c r="K36" s="448">
        <f t="shared" si="63"/>
        <v>0.84622932614238289</v>
      </c>
      <c r="L36" s="448">
        <f t="shared" si="63"/>
        <v>0.80617262264657696</v>
      </c>
      <c r="M36" s="448">
        <f t="shared" si="63"/>
        <v>0.79372767414986756</v>
      </c>
      <c r="N36" s="449">
        <f t="shared" si="63"/>
        <v>0.84189463229749439</v>
      </c>
      <c r="O36" s="449">
        <f t="shared" si="63"/>
        <v>0.87535167801877944</v>
      </c>
      <c r="P36" s="449">
        <f t="shared" si="63"/>
        <v>0.93133972285772426</v>
      </c>
      <c r="Q36" s="449">
        <f t="shared" si="63"/>
        <v>0.98053229390600027</v>
      </c>
      <c r="R36" s="449">
        <f t="shared" si="63"/>
        <v>0.91792315175097272</v>
      </c>
      <c r="S36" s="449">
        <f t="shared" ref="S36:T36" si="64">S20/S5</f>
        <v>0.85870292457305075</v>
      </c>
      <c r="T36" s="449">
        <f t="shared" si="64"/>
        <v>0.80657010274767482</v>
      </c>
      <c r="U36" s="449">
        <f t="shared" ref="U36:V36" si="65">U20/U5</f>
        <v>0.72508592612154099</v>
      </c>
      <c r="V36" s="449">
        <f t="shared" si="65"/>
        <v>0.67906673215527424</v>
      </c>
      <c r="W36" s="449">
        <f t="shared" ref="W36" si="66">W20/W5</f>
        <v>0.60673276030754009</v>
      </c>
      <c r="X36" s="482">
        <f>X20/X5</f>
        <v>0.54070122288908595</v>
      </c>
      <c r="Y36" s="484">
        <f>Y20/Y5</f>
        <v>0.50091951863108619</v>
      </c>
      <c r="Z36" s="394"/>
    </row>
    <row r="39" spans="1:27" ht="13" x14ac:dyDescent="0.3">
      <c r="A39" s="3" t="s">
        <v>3</v>
      </c>
      <c r="B39" s="399">
        <v>2000</v>
      </c>
      <c r="C39" s="399">
        <f>+B39+1</f>
        <v>2001</v>
      </c>
      <c r="D39" s="399">
        <f t="shared" ref="D39:J39" si="67">+C39+1</f>
        <v>2002</v>
      </c>
      <c r="E39" s="399">
        <f t="shared" si="67"/>
        <v>2003</v>
      </c>
      <c r="F39" s="399">
        <f t="shared" si="67"/>
        <v>2004</v>
      </c>
      <c r="G39" s="399">
        <f t="shared" si="67"/>
        <v>2005</v>
      </c>
      <c r="H39" s="399">
        <f t="shared" si="67"/>
        <v>2006</v>
      </c>
      <c r="I39" s="399">
        <f t="shared" si="67"/>
        <v>2007</v>
      </c>
      <c r="J39" s="399">
        <f t="shared" si="67"/>
        <v>2008</v>
      </c>
      <c r="K39" s="399">
        <f t="shared" ref="K39:R39" si="68">+J39+1</f>
        <v>2009</v>
      </c>
      <c r="L39" s="399">
        <f t="shared" si="68"/>
        <v>2010</v>
      </c>
      <c r="M39" s="399">
        <f t="shared" si="68"/>
        <v>2011</v>
      </c>
      <c r="N39" s="399">
        <f t="shared" si="68"/>
        <v>2012</v>
      </c>
      <c r="O39" s="399">
        <f t="shared" si="68"/>
        <v>2013</v>
      </c>
      <c r="P39" s="399">
        <f t="shared" si="68"/>
        <v>2014</v>
      </c>
      <c r="Q39" s="399">
        <f t="shared" si="68"/>
        <v>2015</v>
      </c>
      <c r="R39" s="399">
        <f t="shared" si="68"/>
        <v>2016</v>
      </c>
      <c r="S39" s="399">
        <f t="shared" ref="S39" si="69">+R39+1</f>
        <v>2017</v>
      </c>
      <c r="T39" s="399">
        <f t="shared" ref="T39:U39" si="70">+S39+1</f>
        <v>2018</v>
      </c>
      <c r="U39" s="399">
        <f t="shared" si="70"/>
        <v>2019</v>
      </c>
      <c r="V39" s="399">
        <v>2020</v>
      </c>
      <c r="W39" s="399">
        <f>W1</f>
        <v>2021</v>
      </c>
      <c r="X39" s="399">
        <f>X1</f>
        <v>2022</v>
      </c>
      <c r="Y39" s="399">
        <v>2023</v>
      </c>
    </row>
    <row r="40" spans="1:27" x14ac:dyDescent="0.25">
      <c r="A40" s="399" t="s">
        <v>0</v>
      </c>
      <c r="B40" s="2">
        <f t="shared" ref="B40:R40" si="71">(B2/$B2)*100</f>
        <v>100</v>
      </c>
      <c r="C40" s="2">
        <f t="shared" si="71"/>
        <v>102.6085677592306</v>
      </c>
      <c r="D40" s="2">
        <f t="shared" si="71"/>
        <v>102.91879384824394</v>
      </c>
      <c r="E40" s="2">
        <f t="shared" si="71"/>
        <v>112.81236780138254</v>
      </c>
      <c r="F40" s="2">
        <f t="shared" si="71"/>
        <v>110.00820294790597</v>
      </c>
      <c r="G40" s="2">
        <f t="shared" si="71"/>
        <v>109.65127615732071</v>
      </c>
      <c r="H40" s="2">
        <f t="shared" si="71"/>
        <v>108.46510866252525</v>
      </c>
      <c r="I40" s="2">
        <f t="shared" si="71"/>
        <v>107.89666408397636</v>
      </c>
      <c r="J40" s="2">
        <f t="shared" si="71"/>
        <v>107.99976952900523</v>
      </c>
      <c r="K40" s="2">
        <f t="shared" si="71"/>
        <v>108.55030074287893</v>
      </c>
      <c r="L40" s="2">
        <f t="shared" si="71"/>
        <v>107.63027819909219</v>
      </c>
      <c r="M40" s="2">
        <f t="shared" si="71"/>
        <v>103.76504653341729</v>
      </c>
      <c r="N40" s="2">
        <f t="shared" si="71"/>
        <v>103.62536939800067</v>
      </c>
      <c r="O40" s="2">
        <f t="shared" si="71"/>
        <v>104.8439847828493</v>
      </c>
      <c r="P40" s="2">
        <f t="shared" si="71"/>
        <v>108.13198709968933</v>
      </c>
      <c r="Q40" s="2">
        <f t="shared" si="71"/>
        <v>109.77181855261182</v>
      </c>
      <c r="R40" s="2">
        <f t="shared" si="71"/>
        <v>111.21620453694283</v>
      </c>
      <c r="S40" s="2">
        <f t="shared" ref="S40:T40" si="72">(S2/$B2)*100</f>
        <v>111.75204959978409</v>
      </c>
      <c r="T40" s="2">
        <f t="shared" si="72"/>
        <v>114.13848577523922</v>
      </c>
      <c r="U40" s="2">
        <f t="shared" ref="U40:V40" si="73">(U2/$B2)*100</f>
        <v>119.514373353914</v>
      </c>
      <c r="V40" s="2">
        <f t="shared" si="73"/>
        <v>119.81307589318881</v>
      </c>
      <c r="W40" s="2">
        <f t="shared" ref="W40" si="74">(W2/$B2)*100</f>
        <v>124.56047513415081</v>
      </c>
      <c r="X40" s="2">
        <f t="shared" ref="X40:Y40" si="75">(X2/$B2)*100</f>
        <v>126.78300397714091</v>
      </c>
      <c r="Y40" s="2">
        <f t="shared" si="75"/>
        <v>125.42458973888546</v>
      </c>
    </row>
    <row r="41" spans="1:27" x14ac:dyDescent="0.25">
      <c r="A41" s="399" t="s">
        <v>1</v>
      </c>
      <c r="B41" s="2">
        <f t="shared" ref="B41:R41" si="76">(B3/$B3)*100</f>
        <v>100</v>
      </c>
      <c r="C41" s="2">
        <f t="shared" si="76"/>
        <v>98.455604075691411</v>
      </c>
      <c r="D41" s="2">
        <f t="shared" si="76"/>
        <v>95.430131004366814</v>
      </c>
      <c r="E41" s="2">
        <f t="shared" si="76"/>
        <v>92.687481804949059</v>
      </c>
      <c r="F41" s="2">
        <f t="shared" si="76"/>
        <v>90.528529839883561</v>
      </c>
      <c r="G41" s="2">
        <f t="shared" si="76"/>
        <v>88.276273653566221</v>
      </c>
      <c r="H41" s="2">
        <f t="shared" si="76"/>
        <v>85.069286754002917</v>
      </c>
      <c r="I41" s="2">
        <f t="shared" si="76"/>
        <v>82.449781659388648</v>
      </c>
      <c r="J41" s="2">
        <f t="shared" si="76"/>
        <v>80.368704512372631</v>
      </c>
      <c r="K41" s="2">
        <f t="shared" si="76"/>
        <v>78.198398835516741</v>
      </c>
      <c r="L41" s="2">
        <f t="shared" si="76"/>
        <v>76.910480349344979</v>
      </c>
      <c r="M41" s="2">
        <f t="shared" si="76"/>
        <v>75.471179039301305</v>
      </c>
      <c r="N41" s="2">
        <f t="shared" si="76"/>
        <v>74.684861717612804</v>
      </c>
      <c r="O41" s="2">
        <f t="shared" si="76"/>
        <v>73.436681222707421</v>
      </c>
      <c r="P41" s="2">
        <f t="shared" si="76"/>
        <v>72.155167394468705</v>
      </c>
      <c r="Q41" s="2">
        <f t="shared" si="76"/>
        <v>70.660262008733625</v>
      </c>
      <c r="R41" s="2">
        <f t="shared" si="76"/>
        <v>69.518631732168842</v>
      </c>
      <c r="S41" s="2">
        <f t="shared" ref="S41:T41" si="77">(S3/$B3)*100</f>
        <v>68.391557496360988</v>
      </c>
      <c r="T41" s="2">
        <f t="shared" si="77"/>
        <v>67.051382823871904</v>
      </c>
      <c r="U41" s="2">
        <f t="shared" ref="U41:V41" si="78">(U3/$B3)*100</f>
        <v>65.56288209606987</v>
      </c>
      <c r="V41" s="2">
        <f t="shared" si="78"/>
        <v>64.488064046579325</v>
      </c>
      <c r="W41" s="2">
        <f t="shared" ref="W41" si="79">(W3/$B3)*100</f>
        <v>63.58995633187773</v>
      </c>
      <c r="X41" s="2">
        <f t="shared" ref="X41:Y41" si="80">(X3/$B3)*100</f>
        <v>62.602765647743816</v>
      </c>
      <c r="Y41" s="2">
        <f t="shared" si="80"/>
        <v>61.336390101892292</v>
      </c>
    </row>
    <row r="42" spans="1:27" s="7" customFormat="1" x14ac:dyDescent="0.25">
      <c r="A42" s="401" t="s">
        <v>2</v>
      </c>
      <c r="B42" s="6">
        <f t="shared" ref="B42:R42" si="81">(B4/$B4)*100</f>
        <v>100</v>
      </c>
      <c r="C42" s="6">
        <f t="shared" si="81"/>
        <v>102.52093060552522</v>
      </c>
      <c r="D42" s="6">
        <f t="shared" si="81"/>
        <v>107.06417343636141</v>
      </c>
      <c r="E42" s="6">
        <f t="shared" si="81"/>
        <v>127.26538025166032</v>
      </c>
      <c r="F42" s="6">
        <f t="shared" si="81"/>
        <v>127.88260669405685</v>
      </c>
      <c r="G42" s="6">
        <f t="shared" si="81"/>
        <v>128.4333991272232</v>
      </c>
      <c r="H42" s="6">
        <f t="shared" si="81"/>
        <v>128.13237651059518</v>
      </c>
      <c r="I42" s="6">
        <f t="shared" si="81"/>
        <v>128.74045530133014</v>
      </c>
      <c r="J42" s="6">
        <f t="shared" si="81"/>
        <v>132.9790813318358</v>
      </c>
      <c r="K42" s="6">
        <f t="shared" si="81"/>
        <v>133.66763773046256</v>
      </c>
      <c r="L42" s="6">
        <f t="shared" si="81"/>
        <v>135.65880792077309</v>
      </c>
      <c r="M42" s="6">
        <f t="shared" si="81"/>
        <v>136.33680148272404</v>
      </c>
      <c r="N42" s="6">
        <f t="shared" si="81"/>
        <v>136.70561403709092</v>
      </c>
      <c r="O42" s="6">
        <f t="shared" si="81"/>
        <v>137.11172435699146</v>
      </c>
      <c r="P42" s="6">
        <f t="shared" si="81"/>
        <v>137.42223847318039</v>
      </c>
      <c r="Q42" s="6">
        <f t="shared" si="81"/>
        <v>142.47855427139538</v>
      </c>
      <c r="R42" s="6">
        <f t="shared" si="81"/>
        <v>142.98473730539507</v>
      </c>
      <c r="S42" s="6">
        <f t="shared" ref="S42:T42" si="82">(S4/$B4)*100</f>
        <v>146.94437942331129</v>
      </c>
      <c r="T42" s="6">
        <f t="shared" si="82"/>
        <v>148.93309186993051</v>
      </c>
      <c r="U42" s="6">
        <f t="shared" ref="U42:V42" si="83">(U4/$B4)*100</f>
        <v>150.69853673904515</v>
      </c>
      <c r="V42" s="6">
        <f t="shared" si="83"/>
        <v>148.73343301894823</v>
      </c>
      <c r="W42" s="6">
        <f t="shared" ref="W42" si="84">(W4/$B4)*100</f>
        <v>156.16861185099683</v>
      </c>
      <c r="X42" s="6">
        <f t="shared" ref="X42:Y42" si="85">(X4/$B4)*100</f>
        <v>157.6878810872756</v>
      </c>
      <c r="Y42" s="6">
        <f t="shared" si="85"/>
        <v>159.44495034057812</v>
      </c>
    </row>
    <row r="43" spans="1:27" x14ac:dyDescent="0.25">
      <c r="A43" s="420" t="str">
        <f>A36</f>
        <v>SSI</v>
      </c>
      <c r="B43" s="434">
        <f t="shared" ref="B43:R43" si="86">(B5/$B5)*100</f>
        <v>100</v>
      </c>
      <c r="C43" s="434">
        <f t="shared" si="86"/>
        <v>101.42208152129484</v>
      </c>
      <c r="D43" s="434">
        <f t="shared" si="86"/>
        <v>101.10370774293294</v>
      </c>
      <c r="E43" s="434">
        <f t="shared" si="86"/>
        <v>104.09448083244321</v>
      </c>
      <c r="F43" s="434">
        <f t="shared" si="86"/>
        <v>107.92080542097835</v>
      </c>
      <c r="G43" s="434">
        <f t="shared" si="86"/>
        <v>111.97800489957841</v>
      </c>
      <c r="H43" s="434">
        <f t="shared" si="86"/>
        <v>110.40931333136297</v>
      </c>
      <c r="I43" s="434">
        <f t="shared" si="86"/>
        <v>114.3835954856323</v>
      </c>
      <c r="J43" s="434">
        <f t="shared" si="86"/>
        <v>120.57185105066041</v>
      </c>
      <c r="K43" s="434">
        <f t="shared" si="86"/>
        <v>120.66011331006885</v>
      </c>
      <c r="L43" s="434">
        <f t="shared" si="86"/>
        <v>129.17548917178797</v>
      </c>
      <c r="M43" s="434">
        <f t="shared" si="86"/>
        <v>134.80015162340084</v>
      </c>
      <c r="N43" s="434">
        <f t="shared" si="86"/>
        <v>131.87906108482451</v>
      </c>
      <c r="O43" s="434">
        <f t="shared" si="86"/>
        <v>131.139363090741</v>
      </c>
      <c r="P43" s="434">
        <f t="shared" si="86"/>
        <v>127.57742169343587</v>
      </c>
      <c r="Q43" s="434">
        <f t="shared" si="86"/>
        <v>125.31673429713868</v>
      </c>
      <c r="R43" s="434">
        <f t="shared" si="86"/>
        <v>138.15553421485021</v>
      </c>
      <c r="S43" s="434">
        <f t="shared" ref="S43:T43" si="87">(S5/$B5)*100</f>
        <v>151.32196087344371</v>
      </c>
      <c r="T43" s="434">
        <f t="shared" si="87"/>
        <v>157.52665616799786</v>
      </c>
      <c r="U43" s="434">
        <f t="shared" ref="U43:V43" si="88">(U5/$B5)*100</f>
        <v>179.61455571855544</v>
      </c>
      <c r="V43" s="434">
        <f t="shared" si="88"/>
        <v>195.33848325079032</v>
      </c>
      <c r="W43" s="434">
        <f t="shared" ref="W43" si="89">(W5/$B5)*100</f>
        <v>219.90977014024077</v>
      </c>
      <c r="X43" s="434">
        <f t="shared" ref="X43:Y43" si="90">(X5/$B5)*100</f>
        <v>235.20725288526236</v>
      </c>
      <c r="Y43" s="434">
        <f t="shared" si="90"/>
        <v>246.68595714710503</v>
      </c>
    </row>
    <row r="44" spans="1:27" x14ac:dyDescent="0.25">
      <c r="C44" s="4">
        <f t="shared" ref="C44:R44" si="91">(C4/B4)-1</f>
        <v>2.520930605525229E-2</v>
      </c>
      <c r="D44" s="4">
        <f t="shared" si="91"/>
        <v>4.4315271076863727E-2</v>
      </c>
      <c r="E44" s="4">
        <f t="shared" si="91"/>
        <v>0.18868316232139448</v>
      </c>
      <c r="F44" s="4">
        <f t="shared" si="91"/>
        <v>4.849916302265278E-3</v>
      </c>
      <c r="G44" s="4">
        <f t="shared" si="91"/>
        <v>4.3070160001044133E-3</v>
      </c>
      <c r="H44" s="4">
        <f t="shared" si="91"/>
        <v>-2.3438032371145834E-3</v>
      </c>
      <c r="I44" s="4">
        <f t="shared" si="91"/>
        <v>4.745707582225922E-3</v>
      </c>
      <c r="J44" s="4">
        <f t="shared" si="91"/>
        <v>3.2923807987044418E-2</v>
      </c>
      <c r="K44" s="4">
        <f t="shared" si="91"/>
        <v>5.1779301806766931E-3</v>
      </c>
      <c r="L44" s="4">
        <f t="shared" si="91"/>
        <v>1.4896426869798196E-2</v>
      </c>
      <c r="M44" s="4">
        <f t="shared" si="91"/>
        <v>4.9977850487004094E-3</v>
      </c>
      <c r="N44" s="4" t="s">
        <v>114</v>
      </c>
      <c r="O44" s="4">
        <f t="shared" si="91"/>
        <v>2.9706923359440474E-3</v>
      </c>
      <c r="P44" s="4">
        <f t="shared" si="91"/>
        <v>2.264679535212144E-3</v>
      </c>
      <c r="Q44" s="4">
        <f t="shared" si="91"/>
        <v>3.6794014232287564E-2</v>
      </c>
      <c r="R44" s="4">
        <f t="shared" si="91"/>
        <v>3.5526963098986286E-3</v>
      </c>
      <c r="S44" s="4">
        <f t="shared" ref="S44:Y44" si="92">(S4/R4)-1</f>
        <v>2.7692760727733967E-2</v>
      </c>
      <c r="T44" s="4">
        <f t="shared" si="92"/>
        <v>1.3533776891800908E-2</v>
      </c>
      <c r="U44" s="4">
        <f t="shared" si="92"/>
        <v>1.1853946271769278E-2</v>
      </c>
      <c r="V44" s="4">
        <f t="shared" si="92"/>
        <v>-1.3039965500791562E-2</v>
      </c>
      <c r="W44" s="4">
        <f t="shared" si="92"/>
        <v>4.9989963124843495E-2</v>
      </c>
      <c r="X44" s="4">
        <f t="shared" si="92"/>
        <v>9.7283904766236606E-3</v>
      </c>
      <c r="Y44" s="4">
        <f t="shared" si="92"/>
        <v>1.1142703175331503E-2</v>
      </c>
    </row>
    <row r="45" spans="1:27" ht="13" x14ac:dyDescent="0.3">
      <c r="A45" s="3" t="s">
        <v>4</v>
      </c>
      <c r="B45" s="399">
        <v>2000</v>
      </c>
      <c r="C45" s="399">
        <f>B45+1</f>
        <v>2001</v>
      </c>
      <c r="D45" s="399">
        <f t="shared" ref="D45:J45" si="93">C45+1</f>
        <v>2002</v>
      </c>
      <c r="E45" s="399">
        <f t="shared" si="93"/>
        <v>2003</v>
      </c>
      <c r="F45" s="399">
        <f t="shared" si="93"/>
        <v>2004</v>
      </c>
      <c r="G45" s="399">
        <f t="shared" si="93"/>
        <v>2005</v>
      </c>
      <c r="H45" s="399">
        <f t="shared" si="93"/>
        <v>2006</v>
      </c>
      <c r="I45" s="399">
        <f t="shared" si="93"/>
        <v>2007</v>
      </c>
      <c r="J45" s="399">
        <f t="shared" si="93"/>
        <v>2008</v>
      </c>
      <c r="K45" s="399">
        <f t="shared" ref="K45:R45" si="94">J45+1</f>
        <v>2009</v>
      </c>
      <c r="L45" s="399">
        <f t="shared" si="94"/>
        <v>2010</v>
      </c>
      <c r="M45" s="399">
        <f t="shared" si="94"/>
        <v>2011</v>
      </c>
      <c r="N45" s="399">
        <f t="shared" si="94"/>
        <v>2012</v>
      </c>
      <c r="O45" s="399">
        <f t="shared" si="94"/>
        <v>2013</v>
      </c>
      <c r="P45" s="399">
        <f t="shared" si="94"/>
        <v>2014</v>
      </c>
      <c r="Q45" s="399">
        <f t="shared" si="94"/>
        <v>2015</v>
      </c>
      <c r="R45" s="399">
        <f t="shared" si="94"/>
        <v>2016</v>
      </c>
      <c r="S45" s="399">
        <f t="shared" ref="S45" si="95">R45+1</f>
        <v>2017</v>
      </c>
      <c r="T45" s="399">
        <f t="shared" ref="T45:U45" si="96">S45+1</f>
        <v>2018</v>
      </c>
      <c r="U45" s="399">
        <f t="shared" si="96"/>
        <v>2019</v>
      </c>
      <c r="V45" s="399">
        <v>2020</v>
      </c>
      <c r="W45" s="399">
        <f>W1</f>
        <v>2021</v>
      </c>
      <c r="X45" s="399">
        <f>X1</f>
        <v>2022</v>
      </c>
      <c r="Y45" s="399">
        <v>2023</v>
      </c>
    </row>
    <row r="46" spans="1:27" x14ac:dyDescent="0.25">
      <c r="A46" s="399" t="s">
        <v>0</v>
      </c>
      <c r="B46" s="2">
        <f t="shared" ref="B46:R46" si="97">(B17/$B17)*100</f>
        <v>100</v>
      </c>
      <c r="C46" s="2">
        <f t="shared" si="97"/>
        <v>101.58021638000511</v>
      </c>
      <c r="D46" s="2">
        <f t="shared" si="97"/>
        <v>102.70271353052765</v>
      </c>
      <c r="E46" s="2">
        <f t="shared" si="97"/>
        <v>103.86761063885051</v>
      </c>
      <c r="F46" s="2">
        <f t="shared" si="97"/>
        <v>104.2050742399891</v>
      </c>
      <c r="G46" s="2">
        <f t="shared" si="97"/>
        <v>104.75947872757392</v>
      </c>
      <c r="H46" s="2">
        <f t="shared" si="97"/>
        <v>104.3414885924082</v>
      </c>
      <c r="I46" s="2">
        <f t="shared" si="97"/>
        <v>103.9848615457756</v>
      </c>
      <c r="J46" s="2">
        <f t="shared" si="97"/>
        <v>103.52473853915787</v>
      </c>
      <c r="K46" s="2">
        <f t="shared" si="97"/>
        <v>103.24082575086319</v>
      </c>
      <c r="L46" s="2">
        <f t="shared" si="97"/>
        <v>102.3348020856773</v>
      </c>
      <c r="M46" s="2">
        <f t="shared" si="97"/>
        <v>103.44801798559469</v>
      </c>
      <c r="N46" s="2">
        <f t="shared" si="97"/>
        <v>104.28606817512585</v>
      </c>
      <c r="O46" s="2">
        <f t="shared" si="97"/>
        <v>105.42786231431656</v>
      </c>
      <c r="P46" s="2">
        <f t="shared" si="97"/>
        <v>107.23790649707574</v>
      </c>
      <c r="Q46" s="2">
        <f t="shared" si="97"/>
        <v>108.64659347271331</v>
      </c>
      <c r="R46" s="2">
        <f t="shared" si="97"/>
        <v>110.21558542322836</v>
      </c>
      <c r="S46" s="2">
        <f t="shared" ref="S46:T46" si="98">(S17/$B17)*100</f>
        <v>111.199531530545</v>
      </c>
      <c r="T46" s="2">
        <f t="shared" si="98"/>
        <v>112.57195473153483</v>
      </c>
      <c r="U46" s="2">
        <f t="shared" ref="U46:V46" si="99">(U17/$B17)*100</f>
        <v>113.62661194957677</v>
      </c>
      <c r="V46" s="2">
        <f t="shared" si="99"/>
        <v>114.19851059297844</v>
      </c>
      <c r="W46" s="2">
        <f t="shared" ref="W46" si="100">(W17/$B17)*100</f>
        <v>112.17299449868894</v>
      </c>
      <c r="X46" s="2">
        <f t="shared" ref="X46:Y46" si="101">(X17/$B17)*100</f>
        <v>110.56693751448108</v>
      </c>
      <c r="Y46" s="2">
        <f t="shared" si="101"/>
        <v>108.27119680724979</v>
      </c>
    </row>
    <row r="47" spans="1:27" x14ac:dyDescent="0.25">
      <c r="A47" s="399" t="s">
        <v>1</v>
      </c>
      <c r="B47" s="2">
        <f t="shared" ref="B47:R47" si="102">(B18/$B18)*100</f>
        <v>100</v>
      </c>
      <c r="C47" s="2">
        <f t="shared" si="102"/>
        <v>99.678846768996834</v>
      </c>
      <c r="D47" s="2">
        <f t="shared" si="102"/>
        <v>99.166288066683052</v>
      </c>
      <c r="E47" s="2">
        <f t="shared" si="102"/>
        <v>98.230064392903344</v>
      </c>
      <c r="F47" s="2">
        <f t="shared" si="102"/>
        <v>97.431237743791343</v>
      </c>
      <c r="G47" s="2">
        <f t="shared" si="102"/>
        <v>96.02191862109251</v>
      </c>
      <c r="H47" s="2">
        <f t="shared" si="102"/>
        <v>93.870388999893379</v>
      </c>
      <c r="I47" s="2">
        <f t="shared" si="102"/>
        <v>91.851098944401429</v>
      </c>
      <c r="J47" s="2">
        <f t="shared" si="102"/>
        <v>89.621048459252592</v>
      </c>
      <c r="K47" s="2">
        <f t="shared" si="102"/>
        <v>86.606137028469178</v>
      </c>
      <c r="L47" s="2">
        <f t="shared" si="102"/>
        <v>84.356731584974071</v>
      </c>
      <c r="M47" s="2">
        <f t="shared" si="102"/>
        <v>82.403966955175306</v>
      </c>
      <c r="N47" s="2">
        <f t="shared" si="102"/>
        <v>80.748016986004174</v>
      </c>
      <c r="O47" s="2">
        <f t="shared" si="102"/>
        <v>78.869774740736275</v>
      </c>
      <c r="P47" s="2">
        <f t="shared" si="102"/>
        <v>77.20339395568989</v>
      </c>
      <c r="Q47" s="2">
        <f t="shared" si="102"/>
        <v>75.177444999609918</v>
      </c>
      <c r="R47" s="2">
        <f t="shared" si="102"/>
        <v>73.136766539797037</v>
      </c>
      <c r="S47" s="2">
        <f t="shared" ref="S47:T47" si="103">(S18/$B18)*100</f>
        <v>70.828253139675581</v>
      </c>
      <c r="T47" s="2">
        <f t="shared" si="103"/>
        <v>68.475698516969771</v>
      </c>
      <c r="U47" s="2">
        <f t="shared" ref="U47:V47" si="104">(U18/$B18)*100</f>
        <v>66.192277023925968</v>
      </c>
      <c r="V47" s="2">
        <f t="shared" si="104"/>
        <v>64.054597208250073</v>
      </c>
      <c r="W47" s="2">
        <f t="shared" ref="W47" si="105">(W18/$B18)*100</f>
        <v>61.559661948847278</v>
      </c>
      <c r="X47" s="2">
        <f t="shared" ref="X47:Y47" si="106">(X18/$B18)*100</f>
        <v>59.329611463698441</v>
      </c>
      <c r="Y47" s="2">
        <f t="shared" si="106"/>
        <v>57.3212737648755</v>
      </c>
    </row>
    <row r="48" spans="1:27" s="7" customFormat="1" x14ac:dyDescent="0.25">
      <c r="A48" s="401" t="s">
        <v>2</v>
      </c>
      <c r="B48" s="6">
        <f t="shared" ref="B48:R48" si="107">(B19/$B19)*100</f>
        <v>100</v>
      </c>
      <c r="C48" s="6">
        <f t="shared" si="107"/>
        <v>102.76129558199882</v>
      </c>
      <c r="D48" s="6">
        <f t="shared" si="107"/>
        <v>105.42075892887944</v>
      </c>
      <c r="E48" s="6">
        <f t="shared" si="107"/>
        <v>108.03431497952178</v>
      </c>
      <c r="F48" s="6">
        <f t="shared" si="107"/>
        <v>110.26635890702275</v>
      </c>
      <c r="G48" s="6">
        <f t="shared" si="107"/>
        <v>112.91027145051878</v>
      </c>
      <c r="H48" s="6">
        <f t="shared" si="107"/>
        <v>115.44180977683287</v>
      </c>
      <c r="I48" s="6">
        <f t="shared" si="107"/>
        <v>117.69133628453639</v>
      </c>
      <c r="J48" s="6">
        <f t="shared" si="107"/>
        <v>120.14652803132348</v>
      </c>
      <c r="K48" s="6">
        <f t="shared" si="107"/>
        <v>122.81799599128713</v>
      </c>
      <c r="L48" s="6">
        <f t="shared" si="107"/>
        <v>125.58017467125988</v>
      </c>
      <c r="M48" s="6">
        <f t="shared" si="107"/>
        <v>129.21558546498005</v>
      </c>
      <c r="N48" s="6">
        <f t="shared" si="107"/>
        <v>133.96983999644553</v>
      </c>
      <c r="O48" s="6">
        <f t="shared" si="107"/>
        <v>138.75969441498486</v>
      </c>
      <c r="P48" s="6">
        <f t="shared" si="107"/>
        <v>143.80092819116422</v>
      </c>
      <c r="Q48" s="6">
        <f t="shared" si="107"/>
        <v>148.25233150864145</v>
      </c>
      <c r="R48" s="6">
        <f t="shared" si="107"/>
        <v>152.67840855810246</v>
      </c>
      <c r="S48" s="6">
        <f t="shared" ref="S48:T48" si="108">(S19/$B19)*100</f>
        <v>155.75904064651601</v>
      </c>
      <c r="T48" s="6">
        <f t="shared" si="108"/>
        <v>159.32773614798734</v>
      </c>
      <c r="U48" s="6">
        <f t="shared" ref="U48:V48" si="109">(U19/$B19)*100</f>
        <v>162.92050986765395</v>
      </c>
      <c r="V48" s="6">
        <f t="shared" si="109"/>
        <v>166.19621001946402</v>
      </c>
      <c r="W48" s="6">
        <f t="shared" ref="W48" si="110">(W19/$B19)*100</f>
        <v>167.60349563294255</v>
      </c>
      <c r="X48" s="6">
        <f t="shared" ref="X48:Y48" si="111">(X19/$B19)*100</f>
        <v>169.80504508353141</v>
      </c>
      <c r="Y48" s="6">
        <f t="shared" si="111"/>
        <v>172.47597490566719</v>
      </c>
    </row>
    <row r="49" spans="1:25" x14ac:dyDescent="0.25">
      <c r="A49" s="420" t="str">
        <f>A43</f>
        <v>SSI</v>
      </c>
      <c r="B49" s="434">
        <f t="shared" ref="B49:R49" si="112">(B20/$B20)*100</f>
        <v>100</v>
      </c>
      <c r="C49" s="434">
        <f t="shared" si="112"/>
        <v>102.00336596284065</v>
      </c>
      <c r="D49" s="434">
        <f t="shared" si="112"/>
        <v>103.21255923618379</v>
      </c>
      <c r="E49" s="434">
        <f t="shared" si="112"/>
        <v>104.55651261121508</v>
      </c>
      <c r="F49" s="434">
        <f t="shared" si="112"/>
        <v>105.82427080093095</v>
      </c>
      <c r="G49" s="434">
        <f t="shared" si="112"/>
        <v>107.89714460569498</v>
      </c>
      <c r="H49" s="434">
        <f t="shared" si="112"/>
        <v>109.25903221982311</v>
      </c>
      <c r="I49" s="434">
        <f t="shared" si="112"/>
        <v>110.98882504389836</v>
      </c>
      <c r="J49" s="434">
        <f t="shared" si="112"/>
        <v>112.97020383225305</v>
      </c>
      <c r="K49" s="434">
        <f t="shared" si="112"/>
        <v>115.1643103791331</v>
      </c>
      <c r="L49" s="434">
        <f t="shared" si="112"/>
        <v>117.45574697034994</v>
      </c>
      <c r="M49" s="434">
        <f t="shared" si="112"/>
        <v>120.67797503189152</v>
      </c>
      <c r="N49" s="434">
        <f t="shared" si="112"/>
        <v>125.22749632956038</v>
      </c>
      <c r="O49" s="434">
        <f t="shared" si="112"/>
        <v>129.47375673673852</v>
      </c>
      <c r="P49" s="434">
        <f t="shared" si="112"/>
        <v>134.01334834270406</v>
      </c>
      <c r="Q49" s="434">
        <f t="shared" si="112"/>
        <v>138.59165511694653</v>
      </c>
      <c r="R49" s="434">
        <f t="shared" si="112"/>
        <v>143.03447325518599</v>
      </c>
      <c r="S49" s="434">
        <f t="shared" ref="S49:T49" si="113">(S20/$B20)*100</f>
        <v>146.55850057602345</v>
      </c>
      <c r="T49" s="434">
        <f t="shared" si="113"/>
        <v>143.30531066256373</v>
      </c>
      <c r="U49" s="434">
        <f t="shared" ref="U49:V49" si="114">(U20/$B20)*100</f>
        <v>146.89165186500887</v>
      </c>
      <c r="V49" s="434">
        <f t="shared" si="114"/>
        <v>149.61198209818437</v>
      </c>
      <c r="W49" s="434">
        <f t="shared" ref="W49" si="115">(W20/$B20)*100</f>
        <v>150.49015187362136</v>
      </c>
      <c r="X49" s="434">
        <f t="shared" ref="X49:Y49" si="116">(X20/$B20)*100</f>
        <v>143.44128664486863</v>
      </c>
      <c r="Y49" s="434">
        <f t="shared" si="116"/>
        <v>139.37295010127272</v>
      </c>
    </row>
    <row r="50" spans="1:25" x14ac:dyDescent="0.25">
      <c r="C50" s="51">
        <f t="shared" ref="C50:R50" si="117">C48-B48</f>
        <v>2.761295581998823</v>
      </c>
      <c r="D50" s="51">
        <f t="shared" si="117"/>
        <v>2.6594633468806137</v>
      </c>
      <c r="E50" s="51">
        <f t="shared" si="117"/>
        <v>2.6135560506423445</v>
      </c>
      <c r="F50" s="51">
        <f t="shared" si="117"/>
        <v>2.2320439275009676</v>
      </c>
      <c r="G50" s="51">
        <f t="shared" si="117"/>
        <v>2.6439125434960289</v>
      </c>
      <c r="H50" s="51">
        <f t="shared" si="117"/>
        <v>2.5315383263140916</v>
      </c>
      <c r="I50" s="51">
        <f t="shared" si="117"/>
        <v>2.2495265077035214</v>
      </c>
      <c r="J50" s="51">
        <f t="shared" si="117"/>
        <v>2.4551917467870936</v>
      </c>
      <c r="K50" s="51">
        <f t="shared" si="117"/>
        <v>2.6714679599636497</v>
      </c>
      <c r="L50" s="51">
        <f t="shared" si="117"/>
        <v>2.7621786799727488</v>
      </c>
      <c r="M50" s="51">
        <f t="shared" si="117"/>
        <v>3.635410793720169</v>
      </c>
      <c r="N50" s="51">
        <f t="shared" si="117"/>
        <v>4.7542545314654774</v>
      </c>
      <c r="O50" s="51">
        <f t="shared" si="117"/>
        <v>4.7898544185393348</v>
      </c>
      <c r="P50" s="51">
        <f t="shared" si="117"/>
        <v>5.0412337761793538</v>
      </c>
      <c r="Q50" s="51">
        <f t="shared" si="117"/>
        <v>4.4514033174772294</v>
      </c>
      <c r="R50" s="51">
        <f t="shared" si="117"/>
        <v>4.4260770494610142</v>
      </c>
      <c r="S50" s="51">
        <f t="shared" ref="S50:W50" si="118">S48-R48</f>
        <v>3.0806320884135516</v>
      </c>
      <c r="T50" s="51">
        <f>T48-S48</f>
        <v>3.5686955014713249</v>
      </c>
      <c r="U50" s="51">
        <f t="shared" si="118"/>
        <v>3.5927737196666101</v>
      </c>
      <c r="V50" s="51">
        <f t="shared" si="118"/>
        <v>3.2757001518100708</v>
      </c>
      <c r="W50" s="51">
        <f t="shared" si="118"/>
        <v>1.4072856134785354</v>
      </c>
      <c r="X50" s="51">
        <f>X48-W48</f>
        <v>2.2015494505888569</v>
      </c>
      <c r="Y50" s="51">
        <f>Y48-X48</f>
        <v>2.6709298221357756</v>
      </c>
    </row>
    <row r="51" spans="1:25" ht="13" x14ac:dyDescent="0.3">
      <c r="A51" s="3" t="s">
        <v>5</v>
      </c>
      <c r="B51" s="399">
        <v>2000</v>
      </c>
      <c r="C51" s="399">
        <f>B51+1</f>
        <v>2001</v>
      </c>
      <c r="D51" s="399">
        <f t="shared" ref="D51:J51" si="119">C51+1</f>
        <v>2002</v>
      </c>
      <c r="E51" s="399">
        <f t="shared" si="119"/>
        <v>2003</v>
      </c>
      <c r="F51" s="399">
        <f t="shared" si="119"/>
        <v>2004</v>
      </c>
      <c r="G51" s="399">
        <f t="shared" si="119"/>
        <v>2005</v>
      </c>
      <c r="H51" s="399">
        <f t="shared" si="119"/>
        <v>2006</v>
      </c>
      <c r="I51" s="399">
        <f t="shared" si="119"/>
        <v>2007</v>
      </c>
      <c r="J51" s="399">
        <f t="shared" si="119"/>
        <v>2008</v>
      </c>
      <c r="K51" s="399">
        <f t="shared" ref="K51:R51" si="120">J51+1</f>
        <v>2009</v>
      </c>
      <c r="L51" s="399">
        <f t="shared" si="120"/>
        <v>2010</v>
      </c>
      <c r="M51" s="399">
        <f t="shared" si="120"/>
        <v>2011</v>
      </c>
      <c r="N51" s="399">
        <f t="shared" si="120"/>
        <v>2012</v>
      </c>
      <c r="O51" s="399">
        <f t="shared" si="120"/>
        <v>2013</v>
      </c>
      <c r="P51" s="399">
        <f t="shared" si="120"/>
        <v>2014</v>
      </c>
      <c r="Q51" s="399">
        <f t="shared" si="120"/>
        <v>2015</v>
      </c>
      <c r="R51" s="399">
        <f t="shared" si="120"/>
        <v>2016</v>
      </c>
      <c r="S51" s="399">
        <f t="shared" ref="S51" si="121">R51+1</f>
        <v>2017</v>
      </c>
      <c r="T51" s="399">
        <f t="shared" ref="T51:U51" si="122">S51+1</f>
        <v>2018</v>
      </c>
      <c r="U51" s="399">
        <f t="shared" si="122"/>
        <v>2019</v>
      </c>
      <c r="V51" s="399">
        <v>2020</v>
      </c>
      <c r="W51" s="399">
        <f>W1</f>
        <v>2021</v>
      </c>
      <c r="X51" s="399">
        <f>X1</f>
        <v>2022</v>
      </c>
      <c r="Y51" s="399">
        <v>2023</v>
      </c>
    </row>
    <row r="52" spans="1:25" x14ac:dyDescent="0.25">
      <c r="A52" s="399" t="s">
        <v>0</v>
      </c>
      <c r="B52" s="2">
        <f t="shared" ref="B52:R52" si="123">(B34/$B34)*100</f>
        <v>100</v>
      </c>
      <c r="C52" s="2">
        <f t="shared" si="123"/>
        <v>98.9977918981985</v>
      </c>
      <c r="D52" s="2">
        <f t="shared" si="123"/>
        <v>99.790047755480941</v>
      </c>
      <c r="E52" s="2">
        <f t="shared" si="123"/>
        <v>92.071120093605188</v>
      </c>
      <c r="F52" s="2">
        <f t="shared" si="123"/>
        <v>94.724821829273097</v>
      </c>
      <c r="G52" s="2">
        <f t="shared" si="123"/>
        <v>95.538768356212884</v>
      </c>
      <c r="H52" s="2">
        <f t="shared" si="123"/>
        <v>96.198205929109278</v>
      </c>
      <c r="I52" s="2">
        <f t="shared" si="123"/>
        <v>96.374491675520019</v>
      </c>
      <c r="J52" s="2">
        <f t="shared" si="123"/>
        <v>95.856443944868303</v>
      </c>
      <c r="K52" s="2">
        <f t="shared" si="123"/>
        <v>95.108742255268197</v>
      </c>
      <c r="L52" s="2">
        <f t="shared" si="123"/>
        <v>95.079938283147953</v>
      </c>
      <c r="M52" s="2">
        <f t="shared" si="123"/>
        <v>99.694474624727789</v>
      </c>
      <c r="N52" s="2">
        <f t="shared" si="123"/>
        <v>100.63758400183606</v>
      </c>
      <c r="O52" s="2">
        <f t="shared" si="123"/>
        <v>100.55690131644323</v>
      </c>
      <c r="P52" s="2">
        <f t="shared" si="123"/>
        <v>99.173158075982343</v>
      </c>
      <c r="Q52" s="2">
        <f t="shared" si="123"/>
        <v>98.97494175214085</v>
      </c>
      <c r="R52" s="2">
        <f t="shared" si="123"/>
        <v>99.100293776540354</v>
      </c>
      <c r="S52" s="2">
        <f t="shared" ref="S52:T52" si="124">(S34/$B34)*100</f>
        <v>99.505585739842957</v>
      </c>
      <c r="T52" s="2">
        <f t="shared" si="124"/>
        <v>98.627517236570668</v>
      </c>
      <c r="U52" s="2">
        <f t="shared" ref="U52:V52" si="125">(U34/$B34)*100</f>
        <v>95.073595552476363</v>
      </c>
      <c r="V52" s="2">
        <f t="shared" si="125"/>
        <v>95.313896034840411</v>
      </c>
      <c r="W52" s="2">
        <f t="shared" ref="W52" si="126">(W34/$B34)*100</f>
        <v>90.055047058771535</v>
      </c>
      <c r="X52" s="2">
        <f t="shared" ref="X52:Y52" si="127">(X34/$B34)*100</f>
        <v>87.209589650057822</v>
      </c>
      <c r="Y52" s="2">
        <f t="shared" si="127"/>
        <v>86.323740051814099</v>
      </c>
    </row>
    <row r="53" spans="1:25" x14ac:dyDescent="0.25">
      <c r="A53" s="399" t="s">
        <v>1</v>
      </c>
      <c r="B53" s="2">
        <f t="shared" ref="B53:R53" si="128">(B35/$B35)*100</f>
        <v>100</v>
      </c>
      <c r="C53" s="2">
        <f t="shared" si="128"/>
        <v>101.24243074306365</v>
      </c>
      <c r="D53" s="2">
        <f t="shared" si="128"/>
        <v>103.91507066268753</v>
      </c>
      <c r="E53" s="2">
        <f t="shared" si="128"/>
        <v>105.97986101253466</v>
      </c>
      <c r="F53" s="2">
        <f t="shared" si="128"/>
        <v>107.62489782626152</v>
      </c>
      <c r="G53" s="2">
        <f t="shared" si="128"/>
        <v>108.77432252965671</v>
      </c>
      <c r="H53" s="2">
        <f t="shared" si="128"/>
        <v>110.34580467488912</v>
      </c>
      <c r="I53" s="2">
        <f t="shared" si="128"/>
        <v>111.40247687234748</v>
      </c>
      <c r="J53" s="2">
        <f t="shared" si="128"/>
        <v>111.51237164144605</v>
      </c>
      <c r="K53" s="2">
        <f t="shared" si="128"/>
        <v>110.75180351280255</v>
      </c>
      <c r="L53" s="2">
        <f t="shared" si="128"/>
        <v>109.68171203951206</v>
      </c>
      <c r="M53" s="2">
        <f t="shared" si="128"/>
        <v>109.1860071674033</v>
      </c>
      <c r="N53" s="2">
        <f t="shared" si="128"/>
        <v>108.11831893231114</v>
      </c>
      <c r="O53" s="2">
        <f t="shared" si="128"/>
        <v>107.39833748961532</v>
      </c>
      <c r="P53" s="2">
        <f t="shared" si="128"/>
        <v>106.99634793115065</v>
      </c>
      <c r="Q53" s="2">
        <f t="shared" si="128"/>
        <v>106.39281947513579</v>
      </c>
      <c r="R53" s="2">
        <f t="shared" si="128"/>
        <v>105.20455411373402</v>
      </c>
      <c r="S53" s="2">
        <f t="shared" ref="S53:T53" si="129">(S35/$B35)*100</f>
        <v>103.56286028936283</v>
      </c>
      <c r="T53" s="2">
        <f t="shared" si="129"/>
        <v>102.12421524077917</v>
      </c>
      <c r="U53" s="2">
        <f t="shared" ref="U53:V53" si="130">(U35/$B35)*100</f>
        <v>100.95998666888049</v>
      </c>
      <c r="V53" s="2">
        <f t="shared" si="130"/>
        <v>99.32783400348913</v>
      </c>
      <c r="W53" s="2">
        <f t="shared" ref="W53" si="131">(W35/$B35)*100</f>
        <v>96.807209030881722</v>
      </c>
      <c r="X53" s="2">
        <f t="shared" ref="X53:Y53" si="132">(X35/$B35)*100</f>
        <v>94.771550186036663</v>
      </c>
      <c r="Y53" s="2">
        <f t="shared" si="132"/>
        <v>93.453940914444345</v>
      </c>
    </row>
    <row r="54" spans="1:25" s="7" customFormat="1" x14ac:dyDescent="0.25">
      <c r="A54" s="401" t="s">
        <v>2</v>
      </c>
      <c r="B54" s="6">
        <f t="shared" ref="B54:R54" si="133">(B33/$B33)*100</f>
        <v>100</v>
      </c>
      <c r="C54" s="6">
        <f t="shared" si="133"/>
        <v>100.23445454021331</v>
      </c>
      <c r="D54" s="6">
        <f t="shared" si="133"/>
        <v>98.465019198547481</v>
      </c>
      <c r="E54" s="6">
        <f t="shared" si="133"/>
        <v>84.889004979900918</v>
      </c>
      <c r="F54" s="6">
        <f t="shared" si="133"/>
        <v>86.224672578673051</v>
      </c>
      <c r="G54" s="6">
        <f t="shared" si="133"/>
        <v>87.913480619377239</v>
      </c>
      <c r="H54" s="6">
        <f t="shared" si="133"/>
        <v>90.095737643082771</v>
      </c>
      <c r="I54" s="6">
        <f t="shared" si="133"/>
        <v>91.417523737249368</v>
      </c>
      <c r="J54" s="6">
        <f t="shared" si="133"/>
        <v>90.349945892249039</v>
      </c>
      <c r="K54" s="6">
        <f t="shared" si="133"/>
        <v>91.883120010653997</v>
      </c>
      <c r="L54" s="6">
        <f t="shared" si="133"/>
        <v>92.570601640993871</v>
      </c>
      <c r="M54" s="6">
        <f t="shared" si="133"/>
        <v>94.77674704093279</v>
      </c>
      <c r="N54" s="6">
        <f t="shared" si="133"/>
        <v>97.998784424534946</v>
      </c>
      <c r="O54" s="6">
        <f t="shared" si="133"/>
        <v>101.20191768116244</v>
      </c>
      <c r="P54" s="6">
        <f t="shared" si="133"/>
        <v>104.64167211133642</v>
      </c>
      <c r="Q54" s="6">
        <f t="shared" si="133"/>
        <v>104.05238336869147</v>
      </c>
      <c r="R54" s="6">
        <f t="shared" si="133"/>
        <v>106.77951467785201</v>
      </c>
      <c r="S54" s="6">
        <f t="shared" ref="S54:T54" si="134">(S33/$B33)*100</f>
        <v>105.99863789128798</v>
      </c>
      <c r="T54" s="6">
        <f t="shared" si="134"/>
        <v>106.97940541457027</v>
      </c>
      <c r="U54" s="6">
        <f t="shared" ref="U54:V54" si="135">(U33/$B33)*100</f>
        <v>108.11021353828593</v>
      </c>
      <c r="V54" s="6">
        <f t="shared" si="135"/>
        <v>111.74098966591532</v>
      </c>
      <c r="W54" s="6">
        <f t="shared" ref="W54" si="136">(W33/$B33)*100</f>
        <v>107.3221396069371</v>
      </c>
      <c r="X54" s="6">
        <f t="shared" ref="X54:Y54" si="137">(X33/$B33)*100</f>
        <v>107.68427092348925</v>
      </c>
      <c r="Y54" s="6">
        <f t="shared" si="137"/>
        <v>108.17274208888681</v>
      </c>
    </row>
    <row r="55" spans="1:25" x14ac:dyDescent="0.25">
      <c r="A55" s="420" t="str">
        <f>A43</f>
        <v>SSI</v>
      </c>
      <c r="B55" s="434">
        <f t="shared" ref="B55:R55" si="138">(B36/$B36)*100</f>
        <v>100</v>
      </c>
      <c r="C55" s="434">
        <f t="shared" si="138"/>
        <v>100.57313400871561</v>
      </c>
      <c r="D55" s="434">
        <f t="shared" si="138"/>
        <v>102.0858300257522</v>
      </c>
      <c r="E55" s="434">
        <f t="shared" si="138"/>
        <v>100.4438580941823</v>
      </c>
      <c r="F55" s="434">
        <f t="shared" si="138"/>
        <v>98.057339720669049</v>
      </c>
      <c r="G55" s="434">
        <f t="shared" si="138"/>
        <v>96.355659044342559</v>
      </c>
      <c r="H55" s="434">
        <f t="shared" si="138"/>
        <v>98.958166592262373</v>
      </c>
      <c r="I55" s="434">
        <f t="shared" si="138"/>
        <v>97.032117737407233</v>
      </c>
      <c r="J55" s="434">
        <f t="shared" si="138"/>
        <v>93.695338379425394</v>
      </c>
      <c r="K55" s="434">
        <f t="shared" si="138"/>
        <v>95.44521981608554</v>
      </c>
      <c r="L55" s="434">
        <f t="shared" si="138"/>
        <v>90.927270895911064</v>
      </c>
      <c r="M55" s="434">
        <f t="shared" si="138"/>
        <v>89.523619653660873</v>
      </c>
      <c r="N55" s="434">
        <f t="shared" si="138"/>
        <v>94.956314747353375</v>
      </c>
      <c r="O55" s="434">
        <f t="shared" si="138"/>
        <v>98.729895955915254</v>
      </c>
      <c r="P55" s="434">
        <f t="shared" si="138"/>
        <v>105.04472230574898</v>
      </c>
      <c r="Q55" s="434">
        <f t="shared" si="138"/>
        <v>110.59309508363957</v>
      </c>
      <c r="R55" s="434">
        <f t="shared" si="138"/>
        <v>103.53148288127814</v>
      </c>
      <c r="S55" s="434">
        <f t="shared" ref="S55:T55" si="139">(S36/$B36)*100</f>
        <v>96.852102451008975</v>
      </c>
      <c r="T55" s="434">
        <f t="shared" si="139"/>
        <v>90.972102213439072</v>
      </c>
      <c r="U55" s="434">
        <f t="shared" ref="U55:V55" si="140">(U36/$B36)*100</f>
        <v>81.781596862995201</v>
      </c>
      <c r="V55" s="434">
        <f t="shared" si="140"/>
        <v>76.591145589116309</v>
      </c>
      <c r="W55" s="434">
        <f t="shared" ref="W55" si="141">(W36/$B36)*100</f>
        <v>68.432681175397917</v>
      </c>
      <c r="X55" s="434">
        <f t="shared" ref="X55:Y55" si="142">(X36/$B36)*100</f>
        <v>60.985060998455452</v>
      </c>
      <c r="Y55" s="434">
        <f t="shared" si="142"/>
        <v>56.498128921931759</v>
      </c>
    </row>
    <row r="57" spans="1:25" ht="13" x14ac:dyDescent="0.3">
      <c r="A57" s="3" t="s">
        <v>3</v>
      </c>
      <c r="B57" s="399">
        <v>2000</v>
      </c>
      <c r="C57" s="399">
        <f t="shared" ref="C57:J57" si="143">+B57+1</f>
        <v>2001</v>
      </c>
      <c r="D57" s="399">
        <f t="shared" si="143"/>
        <v>2002</v>
      </c>
      <c r="E57" s="399">
        <f t="shared" si="143"/>
        <v>2003</v>
      </c>
      <c r="F57" s="399">
        <f t="shared" si="143"/>
        <v>2004</v>
      </c>
      <c r="G57" s="399">
        <f t="shared" si="143"/>
        <v>2005</v>
      </c>
      <c r="H57" s="399">
        <f t="shared" si="143"/>
        <v>2006</v>
      </c>
      <c r="I57" s="399">
        <f t="shared" si="143"/>
        <v>2007</v>
      </c>
      <c r="J57" s="399">
        <f t="shared" si="143"/>
        <v>2008</v>
      </c>
      <c r="K57" s="399">
        <f t="shared" ref="K57:R57" si="144">+J57+1</f>
        <v>2009</v>
      </c>
      <c r="L57" s="399">
        <f t="shared" si="144"/>
        <v>2010</v>
      </c>
      <c r="M57" s="399">
        <f t="shared" si="144"/>
        <v>2011</v>
      </c>
      <c r="N57" s="399">
        <f t="shared" si="144"/>
        <v>2012</v>
      </c>
      <c r="O57" s="399">
        <f t="shared" si="144"/>
        <v>2013</v>
      </c>
      <c r="P57" s="399">
        <f t="shared" si="144"/>
        <v>2014</v>
      </c>
      <c r="Q57" s="399">
        <f t="shared" si="144"/>
        <v>2015</v>
      </c>
      <c r="R57" s="399">
        <f t="shared" si="144"/>
        <v>2016</v>
      </c>
      <c r="S57" s="399">
        <f t="shared" ref="S57" si="145">+R57+1</f>
        <v>2017</v>
      </c>
      <c r="T57" s="399">
        <f t="shared" ref="T57:U57" si="146">+S57+1</f>
        <v>2018</v>
      </c>
      <c r="U57" s="399">
        <f t="shared" si="146"/>
        <v>2019</v>
      </c>
      <c r="V57" s="399">
        <v>2020</v>
      </c>
      <c r="W57" s="399">
        <f>W1</f>
        <v>2021</v>
      </c>
      <c r="X57" s="399">
        <f>X1</f>
        <v>2022</v>
      </c>
      <c r="Y57" s="399">
        <v>2023</v>
      </c>
    </row>
    <row r="58" spans="1:25" x14ac:dyDescent="0.25">
      <c r="A58" s="399" t="s">
        <v>0</v>
      </c>
      <c r="B58" s="2">
        <f t="shared" ref="B58:R58" si="147">B$4/B2</f>
        <v>23.371262996213908</v>
      </c>
      <c r="C58" s="2">
        <f t="shared" si="147"/>
        <v>23.351301788176254</v>
      </c>
      <c r="D58" s="2">
        <f t="shared" si="147"/>
        <v>24.312614453518059</v>
      </c>
      <c r="E58" s="2">
        <f t="shared" si="147"/>
        <v>26.365483945974496</v>
      </c>
      <c r="F58" s="2">
        <f t="shared" si="147"/>
        <v>27.168683367216843</v>
      </c>
      <c r="G58" s="2">
        <f t="shared" si="147"/>
        <v>27.374517230364603</v>
      </c>
      <c r="H58" s="2">
        <f t="shared" si="147"/>
        <v>27.609021063873808</v>
      </c>
      <c r="I58" s="2">
        <f t="shared" si="147"/>
        <v>27.886191520786287</v>
      </c>
      <c r="J58" s="2">
        <f t="shared" si="147"/>
        <v>28.776812176127613</v>
      </c>
      <c r="K58" s="2">
        <f t="shared" si="147"/>
        <v>28.779114328582125</v>
      </c>
      <c r="L58" s="2">
        <f t="shared" si="147"/>
        <v>29.457488456960952</v>
      </c>
      <c r="M58" s="2">
        <f t="shared" si="147"/>
        <v>30.707481468619481</v>
      </c>
      <c r="N58" s="2">
        <f t="shared" si="147"/>
        <v>30.832052780903357</v>
      </c>
      <c r="O58" s="2">
        <f t="shared" si="147"/>
        <v>30.564215738734806</v>
      </c>
      <c r="P58" s="2">
        <f t="shared" si="147"/>
        <v>29.701953723685445</v>
      </c>
      <c r="Q58" s="2">
        <f t="shared" si="147"/>
        <v>30.334778152565175</v>
      </c>
      <c r="R58" s="2">
        <f t="shared" si="147"/>
        <v>30.047185245374184</v>
      </c>
      <c r="S58" s="2">
        <f t="shared" ref="S58:T58" si="148">S$4/S2</f>
        <v>30.731210296515997</v>
      </c>
      <c r="T58" s="2">
        <f t="shared" si="148"/>
        <v>30.495887826878242</v>
      </c>
      <c r="U58" s="2">
        <f t="shared" ref="U58:V58" si="149">U$4/U2</f>
        <v>29.469385450762477</v>
      </c>
      <c r="V58" s="2">
        <f t="shared" si="149"/>
        <v>29.012594439312064</v>
      </c>
      <c r="W58" s="2">
        <f t="shared" ref="W58" si="150">W$4/W2</f>
        <v>29.301892878880096</v>
      </c>
      <c r="X58" s="2">
        <f t="shared" ref="X58:Y58" si="151">X$4/X2</f>
        <v>29.068288529201418</v>
      </c>
      <c r="Y58" s="2">
        <f t="shared" si="151"/>
        <v>29.710520684865433</v>
      </c>
    </row>
    <row r="59" spans="1:25" x14ac:dyDescent="0.25">
      <c r="A59" s="399" t="s">
        <v>1</v>
      </c>
      <c r="B59" s="2">
        <f t="shared" ref="B59:R59" si="152">B$4/B3</f>
        <v>22.436378457059678</v>
      </c>
      <c r="C59" s="2">
        <f t="shared" si="152"/>
        <v>23.3627980898594</v>
      </c>
      <c r="D59" s="2">
        <f t="shared" si="152"/>
        <v>25.171633834397237</v>
      </c>
      <c r="E59" s="2">
        <f t="shared" si="152"/>
        <v>30.806471167451626</v>
      </c>
      <c r="F59" s="2">
        <f t="shared" si="152"/>
        <v>31.694125232541875</v>
      </c>
      <c r="G59" s="2">
        <f t="shared" si="152"/>
        <v>32.642750198694714</v>
      </c>
      <c r="H59" s="2">
        <f t="shared" si="152"/>
        <v>33.79394140575539</v>
      </c>
      <c r="I59" s="2">
        <f t="shared" si="152"/>
        <v>35.03307734406723</v>
      </c>
      <c r="J59" s="2">
        <f t="shared" si="152"/>
        <v>37.123517340930533</v>
      </c>
      <c r="K59" s="2">
        <f t="shared" si="152"/>
        <v>38.351395325753032</v>
      </c>
      <c r="L59" s="2">
        <f t="shared" si="152"/>
        <v>39.574481159380149</v>
      </c>
      <c r="M59" s="2">
        <f t="shared" si="152"/>
        <v>40.530757762489706</v>
      </c>
      <c r="N59" s="2">
        <f t="shared" si="152"/>
        <v>41.068281084030914</v>
      </c>
      <c r="O59" s="2">
        <f t="shared" si="152"/>
        <v>41.89038076549523</v>
      </c>
      <c r="P59" s="2">
        <f t="shared" si="152"/>
        <v>42.730929220142585</v>
      </c>
      <c r="Q59" s="2">
        <f t="shared" si="152"/>
        <v>45.240460122446628</v>
      </c>
      <c r="R59" s="2">
        <f t="shared" si="152"/>
        <v>46.146760944988728</v>
      </c>
      <c r="S59" s="2">
        <f t="shared" ref="S59:T59" si="153">S$4/S3</f>
        <v>48.206238161115252</v>
      </c>
      <c r="T59" s="2">
        <f t="shared" si="153"/>
        <v>49.835202097937014</v>
      </c>
      <c r="U59" s="2">
        <f t="shared" ref="U59:V59" si="154">U$4/U3</f>
        <v>51.57078662661489</v>
      </c>
      <c r="V59" s="2">
        <f t="shared" si="154"/>
        <v>51.746623840661982</v>
      </c>
      <c r="W59" s="2">
        <f t="shared" ref="W59" si="155">W$4/W3</f>
        <v>55.100809635972837</v>
      </c>
      <c r="X59" s="2">
        <f t="shared" ref="X59:Y59" si="156">X$4/X3</f>
        <v>56.514196163048354</v>
      </c>
      <c r="Y59" s="2">
        <f t="shared" si="156"/>
        <v>58.323733153606831</v>
      </c>
    </row>
    <row r="60" spans="1:25" x14ac:dyDescent="0.25">
      <c r="A60" s="399" t="s">
        <v>2</v>
      </c>
      <c r="B60" s="2">
        <f t="shared" ref="B60:R60" si="157">B$4/B4</f>
        <v>1</v>
      </c>
      <c r="C60" s="2">
        <f t="shared" si="157"/>
        <v>1</v>
      </c>
      <c r="D60" s="2">
        <f t="shared" si="157"/>
        <v>1</v>
      </c>
      <c r="E60" s="2">
        <f t="shared" si="157"/>
        <v>1</v>
      </c>
      <c r="F60" s="2">
        <f t="shared" si="157"/>
        <v>1</v>
      </c>
      <c r="G60" s="2">
        <f t="shared" si="157"/>
        <v>1</v>
      </c>
      <c r="H60" s="2">
        <f t="shared" si="157"/>
        <v>1</v>
      </c>
      <c r="I60" s="2">
        <f t="shared" si="157"/>
        <v>1</v>
      </c>
      <c r="J60" s="2">
        <f t="shared" si="157"/>
        <v>1</v>
      </c>
      <c r="K60" s="2">
        <f t="shared" si="157"/>
        <v>1</v>
      </c>
      <c r="L60" s="2">
        <f t="shared" si="157"/>
        <v>1</v>
      </c>
      <c r="M60" s="2">
        <f t="shared" si="157"/>
        <v>1</v>
      </c>
      <c r="N60" s="2">
        <f t="shared" si="157"/>
        <v>1</v>
      </c>
      <c r="O60" s="2">
        <f t="shared" si="157"/>
        <v>1</v>
      </c>
      <c r="P60" s="2">
        <f t="shared" si="157"/>
        <v>1</v>
      </c>
      <c r="Q60" s="2">
        <f t="shared" si="157"/>
        <v>1</v>
      </c>
      <c r="R60" s="2">
        <f t="shared" si="157"/>
        <v>1</v>
      </c>
      <c r="S60" s="2">
        <f t="shared" ref="S60:T60" si="158">S$4/S4</f>
        <v>1</v>
      </c>
      <c r="T60" s="2">
        <f t="shared" si="158"/>
        <v>1</v>
      </c>
      <c r="U60" s="2">
        <f t="shared" ref="U60:V60" si="159">U$4/U4</f>
        <v>1</v>
      </c>
      <c r="V60" s="2">
        <f t="shared" si="159"/>
        <v>1</v>
      </c>
      <c r="W60" s="2">
        <f t="shared" ref="W60" si="160">W$4/W4</f>
        <v>1</v>
      </c>
      <c r="X60" s="2">
        <f t="shared" ref="X60:Y60" si="161">X$4/X4</f>
        <v>1</v>
      </c>
      <c r="Y60" s="2">
        <f t="shared" si="161"/>
        <v>1</v>
      </c>
    </row>
    <row r="61" spans="1:25" x14ac:dyDescent="0.25">
      <c r="A61" s="420" t="str">
        <f>A5</f>
        <v>SSI</v>
      </c>
      <c r="B61" s="434">
        <f t="shared" ref="B61:R61" si="162">B$4/B5</f>
        <v>13.846916472698819</v>
      </c>
      <c r="C61" s="434">
        <f t="shared" si="162"/>
        <v>13.996939734469928</v>
      </c>
      <c r="D61" s="434">
        <f t="shared" si="162"/>
        <v>14.663247272407398</v>
      </c>
      <c r="E61" s="434">
        <f t="shared" si="162"/>
        <v>16.929169309635075</v>
      </c>
      <c r="F61" s="434">
        <f t="shared" si="162"/>
        <v>16.408140824154604</v>
      </c>
      <c r="G61" s="434">
        <f t="shared" si="162"/>
        <v>15.881748845358691</v>
      </c>
      <c r="H61" s="434">
        <f t="shared" si="162"/>
        <v>16.069643596692998</v>
      </c>
      <c r="I61" s="434">
        <f t="shared" si="162"/>
        <v>15.584912536156931</v>
      </c>
      <c r="J61" s="434">
        <f t="shared" si="162"/>
        <v>15.271808600205341</v>
      </c>
      <c r="K61" s="434">
        <f t="shared" si="162"/>
        <v>15.339655864571673</v>
      </c>
      <c r="L61" s="434">
        <f t="shared" si="162"/>
        <v>14.541893312025435</v>
      </c>
      <c r="M61" s="434">
        <f t="shared" si="162"/>
        <v>14.004763937954483</v>
      </c>
      <c r="N61" s="434">
        <f t="shared" si="162"/>
        <v>14.353690444482742</v>
      </c>
      <c r="O61" s="434">
        <f t="shared" si="162"/>
        <v>14.477534051200621</v>
      </c>
      <c r="P61" s="434">
        <f t="shared" si="162"/>
        <v>14.91544688998315</v>
      </c>
      <c r="Q61" s="434">
        <f t="shared" si="162"/>
        <v>15.743217785016473</v>
      </c>
      <c r="R61" s="434">
        <f t="shared" si="162"/>
        <v>14.330933071849186</v>
      </c>
      <c r="S61" s="434">
        <f t="shared" ref="S61:T61" si="163">S$4/S5</f>
        <v>13.446340083504952</v>
      </c>
      <c r="T61" s="434">
        <f t="shared" si="163"/>
        <v>13.091524528676336</v>
      </c>
      <c r="U61" s="434">
        <f t="shared" ref="U61:V61" si="164">U$4/U5</f>
        <v>11.617711284230406</v>
      </c>
      <c r="V61" s="434">
        <f t="shared" si="164"/>
        <v>10.543234438177651</v>
      </c>
      <c r="W61" s="434">
        <f t="shared" ref="W61" si="165">W$4/W5</f>
        <v>9.8333681244768556</v>
      </c>
      <c r="X61" s="434">
        <f t="shared" ref="X61:Y61" si="166">X$4/X5</f>
        <v>9.2832635532608716</v>
      </c>
      <c r="Y61" s="434">
        <f t="shared" si="166"/>
        <v>8.9499253824287095</v>
      </c>
    </row>
    <row r="63" spans="1:25" ht="13" x14ac:dyDescent="0.3">
      <c r="A63" s="3" t="s">
        <v>4</v>
      </c>
      <c r="B63" s="399">
        <v>2000</v>
      </c>
      <c r="C63" s="399">
        <f t="shared" ref="C63:J63" si="167">+B63+1</f>
        <v>2001</v>
      </c>
      <c r="D63" s="399">
        <f t="shared" si="167"/>
        <v>2002</v>
      </c>
      <c r="E63" s="399">
        <f t="shared" si="167"/>
        <v>2003</v>
      </c>
      <c r="F63" s="399">
        <f t="shared" si="167"/>
        <v>2004</v>
      </c>
      <c r="G63" s="399">
        <f t="shared" si="167"/>
        <v>2005</v>
      </c>
      <c r="H63" s="399">
        <f t="shared" si="167"/>
        <v>2006</v>
      </c>
      <c r="I63" s="399">
        <f t="shared" si="167"/>
        <v>2007</v>
      </c>
      <c r="J63" s="399">
        <f t="shared" si="167"/>
        <v>2008</v>
      </c>
      <c r="K63" s="399">
        <f t="shared" ref="K63:R63" si="168">+J63+1</f>
        <v>2009</v>
      </c>
      <c r="L63" s="399">
        <f t="shared" si="168"/>
        <v>2010</v>
      </c>
      <c r="M63" s="399">
        <f t="shared" si="168"/>
        <v>2011</v>
      </c>
      <c r="N63" s="399">
        <f t="shared" si="168"/>
        <v>2012</v>
      </c>
      <c r="O63" s="399">
        <f t="shared" si="168"/>
        <v>2013</v>
      </c>
      <c r="P63" s="399">
        <f t="shared" si="168"/>
        <v>2014</v>
      </c>
      <c r="Q63" s="399">
        <f t="shared" si="168"/>
        <v>2015</v>
      </c>
      <c r="R63" s="399">
        <f t="shared" si="168"/>
        <v>2016</v>
      </c>
      <c r="S63" s="399">
        <f t="shared" ref="S63" si="169">+R63+1</f>
        <v>2017</v>
      </c>
      <c r="T63" s="399">
        <f t="shared" ref="T63:U63" si="170">+S63+1</f>
        <v>2018</v>
      </c>
      <c r="U63" s="399">
        <f t="shared" si="170"/>
        <v>2019</v>
      </c>
      <c r="V63" s="399">
        <v>2020</v>
      </c>
      <c r="W63" s="399">
        <f>W1</f>
        <v>2021</v>
      </c>
      <c r="X63" s="399">
        <f>X1</f>
        <v>2022</v>
      </c>
      <c r="Y63" s="399">
        <v>2023</v>
      </c>
    </row>
    <row r="64" spans="1:25" x14ac:dyDescent="0.25">
      <c r="A64" s="399" t="s">
        <v>0</v>
      </c>
      <c r="B64" s="2">
        <f t="shared" ref="B64:R64" si="171">B$19/B17</f>
        <v>4.8390798074040342</v>
      </c>
      <c r="C64" s="2">
        <f t="shared" si="171"/>
        <v>4.895344075398226</v>
      </c>
      <c r="D64" s="2">
        <f t="shared" si="171"/>
        <v>4.9671469066132685</v>
      </c>
      <c r="E64" s="2">
        <f t="shared" si="171"/>
        <v>5.0332020627861498</v>
      </c>
      <c r="F64" s="2">
        <f t="shared" si="171"/>
        <v>5.1205540105855363</v>
      </c>
      <c r="G64" s="2">
        <f t="shared" si="171"/>
        <v>5.2155835563631872</v>
      </c>
      <c r="H64" s="2">
        <f t="shared" si="171"/>
        <v>5.3538830829167905</v>
      </c>
      <c r="I64" s="2">
        <f t="shared" si="171"/>
        <v>5.4769296266282756</v>
      </c>
      <c r="J64" s="2">
        <f t="shared" si="171"/>
        <v>5.6160357990778049</v>
      </c>
      <c r="K64" s="2">
        <f t="shared" si="171"/>
        <v>5.7566963462833218</v>
      </c>
      <c r="L64" s="2">
        <f t="shared" si="171"/>
        <v>5.9382778397635407</v>
      </c>
      <c r="M64" s="2">
        <f t="shared" si="171"/>
        <v>6.0444321950426065</v>
      </c>
      <c r="N64" s="2">
        <f t="shared" si="171"/>
        <v>6.2164655248032279</v>
      </c>
      <c r="O64" s="2">
        <f t="shared" si="171"/>
        <v>6.3689922244959094</v>
      </c>
      <c r="P64" s="2">
        <f t="shared" si="171"/>
        <v>6.4889756861748857</v>
      </c>
      <c r="Q64" s="2">
        <f t="shared" si="171"/>
        <v>6.6031049927415584</v>
      </c>
      <c r="R64" s="2">
        <f t="shared" si="171"/>
        <v>6.7034349184193243</v>
      </c>
      <c r="S64" s="2">
        <f t="shared" ref="S64:T64" si="172">S$19/S17</f>
        <v>6.7781798901386594</v>
      </c>
      <c r="T64" s="2">
        <f t="shared" si="172"/>
        <v>6.8489494793958929</v>
      </c>
      <c r="U64" s="2">
        <f t="shared" ref="U64:V64" si="173">U$19/U17</f>
        <v>6.9383864922628327</v>
      </c>
      <c r="V64" s="2">
        <f t="shared" si="173"/>
        <v>7.0424449478040518</v>
      </c>
      <c r="W64" s="2">
        <f>W$19/W17</f>
        <v>7.2303204081547614</v>
      </c>
      <c r="X64" s="2">
        <f>X$19/X17</f>
        <v>7.4316986915860763</v>
      </c>
      <c r="Y64" s="2">
        <f>Y$19/Y17</f>
        <v>7.7086522735514169</v>
      </c>
    </row>
    <row r="65" spans="1:25" x14ac:dyDescent="0.25">
      <c r="A65" s="399" t="s">
        <v>1</v>
      </c>
      <c r="B65" s="2">
        <f t="shared" ref="B65:R65" si="174">B$19/B18</f>
        <v>4.1996863801360176</v>
      </c>
      <c r="C65" s="2">
        <f t="shared" si="174"/>
        <v>4.3295566456641827</v>
      </c>
      <c r="D65" s="2">
        <f t="shared" si="174"/>
        <v>4.4645628478047579</v>
      </c>
      <c r="E65" s="2">
        <f t="shared" si="174"/>
        <v>4.6188531384043428</v>
      </c>
      <c r="F65" s="2">
        <f t="shared" si="174"/>
        <v>4.7529328007384635</v>
      </c>
      <c r="G65" s="2">
        <f t="shared" si="174"/>
        <v>4.9383279984164226</v>
      </c>
      <c r="H65" s="2">
        <f t="shared" si="174"/>
        <v>5.1647745512013232</v>
      </c>
      <c r="I65" s="2">
        <f t="shared" si="174"/>
        <v>5.381173526877026</v>
      </c>
      <c r="J65" s="2">
        <f t="shared" si="174"/>
        <v>5.6301253563574694</v>
      </c>
      <c r="K65" s="2">
        <f t="shared" si="174"/>
        <v>5.955664144570445</v>
      </c>
      <c r="L65" s="2">
        <f t="shared" si="174"/>
        <v>6.2519888961171448</v>
      </c>
      <c r="M65" s="2">
        <f t="shared" si="174"/>
        <v>6.5854224551321403</v>
      </c>
      <c r="N65" s="2">
        <f t="shared" si="174"/>
        <v>6.9677415419327664</v>
      </c>
      <c r="O65" s="2">
        <f t="shared" si="174"/>
        <v>7.388726551610886</v>
      </c>
      <c r="P65" s="2">
        <f t="shared" si="174"/>
        <v>7.8224384788311632</v>
      </c>
      <c r="Q65" s="2">
        <f t="shared" si="174"/>
        <v>8.2819161713128437</v>
      </c>
      <c r="R65" s="2">
        <f t="shared" si="174"/>
        <v>8.7671558820336752</v>
      </c>
      <c r="S65" s="2">
        <f t="shared" ref="S65:T65" si="175">S$19/S18</f>
        <v>9.2355676243524254</v>
      </c>
      <c r="T65" s="2">
        <f t="shared" si="175"/>
        <v>9.7717370975453921</v>
      </c>
      <c r="U65" s="2">
        <f t="shared" ref="U65:V65" si="176">U$19/U18</f>
        <v>10.336780620021344</v>
      </c>
      <c r="V65" s="2">
        <f t="shared" si="176"/>
        <v>10.896516254403535</v>
      </c>
      <c r="W65" s="2">
        <f t="shared" ref="W65" si="177">W$19/W18</f>
        <v>11.434145276134606</v>
      </c>
      <c r="X65" s="2">
        <f t="shared" ref="X65:Y65" si="178">X$19/X18</f>
        <v>12.0197641198447</v>
      </c>
      <c r="Y65" s="2">
        <f t="shared" si="178"/>
        <v>12.636582461219934</v>
      </c>
    </row>
    <row r="66" spans="1:25" x14ac:dyDescent="0.25">
      <c r="A66" s="399" t="s">
        <v>2</v>
      </c>
      <c r="B66" s="2">
        <f t="shared" ref="B66:R66" si="179">B$19/B19</f>
        <v>1</v>
      </c>
      <c r="C66" s="2">
        <f t="shared" si="179"/>
        <v>1</v>
      </c>
      <c r="D66" s="2">
        <f t="shared" si="179"/>
        <v>1</v>
      </c>
      <c r="E66" s="2">
        <f t="shared" si="179"/>
        <v>1</v>
      </c>
      <c r="F66" s="2">
        <f t="shared" si="179"/>
        <v>1</v>
      </c>
      <c r="G66" s="2">
        <f t="shared" si="179"/>
        <v>1</v>
      </c>
      <c r="H66" s="2">
        <f t="shared" si="179"/>
        <v>1</v>
      </c>
      <c r="I66" s="2">
        <f t="shared" si="179"/>
        <v>1</v>
      </c>
      <c r="J66" s="2">
        <f t="shared" si="179"/>
        <v>1</v>
      </c>
      <c r="K66" s="2">
        <f t="shared" si="179"/>
        <v>1</v>
      </c>
      <c r="L66" s="2">
        <f t="shared" si="179"/>
        <v>1</v>
      </c>
      <c r="M66" s="2">
        <f t="shared" si="179"/>
        <v>1</v>
      </c>
      <c r="N66" s="2">
        <f t="shared" si="179"/>
        <v>1</v>
      </c>
      <c r="O66" s="2">
        <f t="shared" si="179"/>
        <v>1</v>
      </c>
      <c r="P66" s="2">
        <f t="shared" si="179"/>
        <v>1</v>
      </c>
      <c r="Q66" s="2">
        <f t="shared" si="179"/>
        <v>1</v>
      </c>
      <c r="R66" s="2">
        <f t="shared" si="179"/>
        <v>1</v>
      </c>
      <c r="S66" s="2">
        <f t="shared" ref="S66:T66" si="180">S$19/S19</f>
        <v>1</v>
      </c>
      <c r="T66" s="2">
        <f t="shared" si="180"/>
        <v>1</v>
      </c>
      <c r="U66" s="2">
        <f t="shared" ref="U66:V66" si="181">U$19/U19</f>
        <v>1</v>
      </c>
      <c r="V66" s="2">
        <f t="shared" si="181"/>
        <v>1</v>
      </c>
      <c r="W66" s="2">
        <f t="shared" ref="W66" si="182">W$19/W19</f>
        <v>1</v>
      </c>
      <c r="X66" s="2">
        <f t="shared" ref="X66:Y66" si="183">X$19/X19</f>
        <v>1</v>
      </c>
      <c r="Y66" s="2">
        <f t="shared" si="183"/>
        <v>1</v>
      </c>
    </row>
    <row r="67" spans="1:25" x14ac:dyDescent="0.25">
      <c r="A67" s="400" t="str">
        <f>A61</f>
        <v>SSI</v>
      </c>
      <c r="B67" s="434">
        <f t="shared" ref="B67:R67" si="184">B$19/B20</f>
        <v>7.3431225232765147</v>
      </c>
      <c r="C67" s="434">
        <f t="shared" si="184"/>
        <v>7.3976851350586212</v>
      </c>
      <c r="D67" s="434">
        <f t="shared" si="184"/>
        <v>7.5002262809909244</v>
      </c>
      <c r="E67" s="434">
        <f t="shared" si="184"/>
        <v>7.587372529942078</v>
      </c>
      <c r="F67" s="434">
        <f t="shared" si="184"/>
        <v>7.651358025164182</v>
      </c>
      <c r="G67" s="434">
        <f t="shared" si="184"/>
        <v>7.6842993429300419</v>
      </c>
      <c r="H67" s="434">
        <f t="shared" si="184"/>
        <v>7.7586569849395355</v>
      </c>
      <c r="I67" s="434">
        <f t="shared" si="184"/>
        <v>7.7865668180888665</v>
      </c>
      <c r="J67" s="434">
        <f t="shared" si="184"/>
        <v>7.8095873615517153</v>
      </c>
      <c r="K67" s="434">
        <f t="shared" si="184"/>
        <v>7.831137872994347</v>
      </c>
      <c r="L67" s="434">
        <f t="shared" si="184"/>
        <v>7.8510471636463341</v>
      </c>
      <c r="M67" s="434">
        <f t="shared" si="184"/>
        <v>7.8626267613083929</v>
      </c>
      <c r="N67" s="434">
        <f t="shared" si="184"/>
        <v>7.8557583466230394</v>
      </c>
      <c r="O67" s="434">
        <f t="shared" si="184"/>
        <v>7.8697757990713919</v>
      </c>
      <c r="P67" s="434">
        <f t="shared" si="184"/>
        <v>7.8794228166607443</v>
      </c>
      <c r="Q67" s="434">
        <f t="shared" si="184"/>
        <v>7.854982565225507</v>
      </c>
      <c r="R67" s="434">
        <f t="shared" si="184"/>
        <v>7.8382241370638743</v>
      </c>
      <c r="S67" s="434">
        <f t="shared" ref="S67:T67" si="185">S$19/S20</f>
        <v>7.8041035837568433</v>
      </c>
      <c r="T67" s="434">
        <f t="shared" si="185"/>
        <v>8.1641293158061448</v>
      </c>
      <c r="U67" s="434">
        <f t="shared" ref="U67:V67" si="186">U$19/U20</f>
        <v>8.1444061001661687</v>
      </c>
      <c r="V67" s="434">
        <f t="shared" si="186"/>
        <v>8.1570948794476958</v>
      </c>
      <c r="W67" s="434">
        <f t="shared" ref="W67" si="187">W$19/W20</f>
        <v>8.1781630787088471</v>
      </c>
      <c r="X67" s="434">
        <f t="shared" ref="X67:Y67" si="188">X$19/X20</f>
        <v>8.6927500462675837</v>
      </c>
      <c r="Y67" s="434">
        <f t="shared" si="188"/>
        <v>9.0872168174211172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0"/>
  <dimension ref="A1:F13"/>
  <sheetViews>
    <sheetView workbookViewId="0">
      <selection sqref="A1:E1"/>
    </sheetView>
  </sheetViews>
  <sheetFormatPr baseColWidth="10" defaultRowHeight="12.5" x14ac:dyDescent="0.25"/>
  <cols>
    <col min="1" max="1" width="25.7265625" customWidth="1"/>
    <col min="2" max="2" width="28.1796875" bestFit="1" customWidth="1"/>
    <col min="3" max="5" width="25.7265625" customWidth="1"/>
  </cols>
  <sheetData>
    <row r="1" spans="1:6" ht="13" x14ac:dyDescent="0.3">
      <c r="A1" s="526" t="s">
        <v>46</v>
      </c>
      <c r="B1" s="526"/>
      <c r="C1" s="526"/>
      <c r="D1" s="526"/>
      <c r="E1" s="526"/>
      <c r="F1" s="96"/>
    </row>
    <row r="2" spans="1:6" ht="13" x14ac:dyDescent="0.3">
      <c r="A2" s="523" t="s">
        <v>47</v>
      </c>
      <c r="B2" s="523"/>
      <c r="C2" s="524"/>
      <c r="D2" s="525" t="s">
        <v>48</v>
      </c>
      <c r="E2" s="523"/>
      <c r="F2" s="96"/>
    </row>
    <row r="3" spans="1:6" s="84" customFormat="1" ht="25" x14ac:dyDescent="0.25">
      <c r="A3" s="406" t="s">
        <v>49</v>
      </c>
      <c r="B3" s="406" t="s">
        <v>50</v>
      </c>
      <c r="C3" s="407" t="s">
        <v>51</v>
      </c>
      <c r="D3" s="415" t="s">
        <v>52</v>
      </c>
      <c r="E3" s="406" t="s">
        <v>53</v>
      </c>
    </row>
    <row r="4" spans="1:6" s="83" customFormat="1" x14ac:dyDescent="0.25">
      <c r="A4" s="408" t="s">
        <v>54</v>
      </c>
      <c r="B4" s="408" t="s">
        <v>58</v>
      </c>
      <c r="C4" s="409" t="s">
        <v>57</v>
      </c>
      <c r="D4" s="416" t="s">
        <v>57</v>
      </c>
      <c r="E4" s="408" t="s">
        <v>59</v>
      </c>
    </row>
    <row r="5" spans="1:6" s="83" customFormat="1" x14ac:dyDescent="0.25">
      <c r="A5" s="408" t="s">
        <v>55</v>
      </c>
      <c r="B5" s="408" t="s">
        <v>60</v>
      </c>
      <c r="C5" s="409"/>
      <c r="D5" s="416"/>
      <c r="E5" s="408" t="s">
        <v>61</v>
      </c>
    </row>
    <row r="6" spans="1:6" s="83" customFormat="1" x14ac:dyDescent="0.25">
      <c r="A6" s="408" t="s">
        <v>56</v>
      </c>
      <c r="B6" s="408" t="s">
        <v>62</v>
      </c>
      <c r="C6" s="409"/>
      <c r="D6" s="416"/>
      <c r="E6" s="408" t="s">
        <v>63</v>
      </c>
    </row>
    <row r="7" spans="1:6" x14ac:dyDescent="0.25">
      <c r="A7" s="410"/>
      <c r="B7" s="408" t="s">
        <v>64</v>
      </c>
      <c r="C7" s="411"/>
      <c r="D7" s="417"/>
      <c r="E7" s="418" t="s">
        <v>103</v>
      </c>
    </row>
    <row r="8" spans="1:6" x14ac:dyDescent="0.25">
      <c r="A8" s="410"/>
      <c r="B8" s="408" t="s">
        <v>65</v>
      </c>
      <c r="C8" s="411"/>
      <c r="D8" s="417"/>
      <c r="E8" s="410"/>
    </row>
    <row r="9" spans="1:6" x14ac:dyDescent="0.25">
      <c r="A9" s="410"/>
      <c r="B9" s="408" t="s">
        <v>66</v>
      </c>
      <c r="C9" s="411"/>
      <c r="D9" s="417"/>
      <c r="E9" s="410"/>
    </row>
    <row r="10" spans="1:6" x14ac:dyDescent="0.25">
      <c r="A10" s="410"/>
      <c r="B10" s="408" t="s">
        <v>67</v>
      </c>
      <c r="C10" s="411"/>
      <c r="D10" s="417"/>
      <c r="E10" s="410"/>
    </row>
    <row r="11" spans="1:6" x14ac:dyDescent="0.25">
      <c r="A11" s="410"/>
      <c r="B11" s="408" t="s">
        <v>68</v>
      </c>
      <c r="C11" s="411"/>
      <c r="D11" s="417"/>
      <c r="E11" s="410"/>
    </row>
    <row r="12" spans="1:6" x14ac:dyDescent="0.25">
      <c r="A12" s="410"/>
      <c r="B12" s="408" t="s">
        <v>16</v>
      </c>
      <c r="C12" s="411"/>
      <c r="D12" s="417"/>
      <c r="E12" s="410"/>
    </row>
    <row r="13" spans="1:6" x14ac:dyDescent="0.25">
      <c r="A13" s="412"/>
      <c r="B13" s="413" t="s">
        <v>17</v>
      </c>
      <c r="C13" s="414"/>
      <c r="D13" s="419"/>
      <c r="E13" s="412"/>
    </row>
  </sheetData>
  <mergeCells count="3">
    <mergeCell ref="A2:C2"/>
    <mergeCell ref="D2:E2"/>
    <mergeCell ref="A1:E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tabColor indexed="24"/>
  </sheetPr>
  <dimension ref="A1:AC71"/>
  <sheetViews>
    <sheetView zoomScale="80" zoomScaleNormal="80" zoomScaleSheetLayoutView="112" workbookViewId="0">
      <pane xSplit="1" topLeftCell="R1" activePane="topRight" state="frozen"/>
      <selection pane="topRight"/>
    </sheetView>
  </sheetViews>
  <sheetFormatPr baseColWidth="10" defaultRowHeight="12.5" x14ac:dyDescent="0.25"/>
  <cols>
    <col min="1" max="1" width="23.81640625" bestFit="1" customWidth="1"/>
    <col min="2" max="9" width="10.81640625" bestFit="1" customWidth="1"/>
    <col min="10" max="10" width="12.81640625" bestFit="1" customWidth="1"/>
    <col min="11" max="12" width="10.81640625" bestFit="1" customWidth="1"/>
    <col min="13" max="20" width="12.81640625" bestFit="1" customWidth="1"/>
    <col min="21" max="25" width="10.81640625" bestFit="1" customWidth="1"/>
    <col min="26" max="27" width="14.453125" bestFit="1" customWidth="1"/>
    <col min="28" max="29" width="30" bestFit="1" customWidth="1"/>
  </cols>
  <sheetData>
    <row r="1" spans="1:29" ht="13" x14ac:dyDescent="0.3">
      <c r="A1" s="3" t="s">
        <v>38</v>
      </c>
      <c r="B1" s="399">
        <v>2000</v>
      </c>
      <c r="C1" s="399">
        <f t="shared" ref="C1:J1" si="0">+B1+1</f>
        <v>2001</v>
      </c>
      <c r="D1" s="399">
        <f t="shared" si="0"/>
        <v>2002</v>
      </c>
      <c r="E1" s="399">
        <f t="shared" si="0"/>
        <v>2003</v>
      </c>
      <c r="F1" s="399">
        <f t="shared" si="0"/>
        <v>2004</v>
      </c>
      <c r="G1" s="399">
        <f t="shared" si="0"/>
        <v>2005</v>
      </c>
      <c r="H1" s="399">
        <f t="shared" si="0"/>
        <v>2006</v>
      </c>
      <c r="I1" s="399">
        <f t="shared" si="0"/>
        <v>2007</v>
      </c>
      <c r="J1" s="399">
        <f t="shared" si="0"/>
        <v>2008</v>
      </c>
      <c r="K1" s="399">
        <f t="shared" ref="K1:R1" si="1">+J1+1</f>
        <v>2009</v>
      </c>
      <c r="L1" s="399">
        <f t="shared" si="1"/>
        <v>2010</v>
      </c>
      <c r="M1" s="399">
        <f t="shared" si="1"/>
        <v>2011</v>
      </c>
      <c r="N1" s="399">
        <f t="shared" si="1"/>
        <v>2012</v>
      </c>
      <c r="O1" s="399">
        <f t="shared" si="1"/>
        <v>2013</v>
      </c>
      <c r="P1" s="399">
        <f t="shared" si="1"/>
        <v>2014</v>
      </c>
      <c r="Q1" s="399">
        <f t="shared" si="1"/>
        <v>2015</v>
      </c>
      <c r="R1" s="399">
        <f t="shared" si="1"/>
        <v>2016</v>
      </c>
      <c r="S1" s="399">
        <f t="shared" ref="S1" si="2">+R1+1</f>
        <v>2017</v>
      </c>
      <c r="T1" s="399">
        <f t="shared" ref="T1:U1" si="3">+S1+1</f>
        <v>2018</v>
      </c>
      <c r="U1" s="399">
        <f t="shared" si="3"/>
        <v>2019</v>
      </c>
      <c r="V1" s="399">
        <v>2020</v>
      </c>
      <c r="W1" s="399">
        <v>2021</v>
      </c>
      <c r="X1" s="399">
        <v>2022</v>
      </c>
      <c r="Y1" s="399">
        <v>2023</v>
      </c>
      <c r="Z1" s="438" t="s">
        <v>124</v>
      </c>
      <c r="AA1" s="439" t="s">
        <v>133</v>
      </c>
      <c r="AB1" s="439" t="s">
        <v>125</v>
      </c>
      <c r="AC1" s="439" t="s">
        <v>134</v>
      </c>
    </row>
    <row r="2" spans="1:29" x14ac:dyDescent="0.25">
      <c r="A2" s="399" t="s">
        <v>71</v>
      </c>
      <c r="B2" s="2">
        <f>'Compléter avc fascic acompte ok'!B2</f>
        <v>659519</v>
      </c>
      <c r="C2" s="2">
        <f>'Compléter avc fascic acompte ok'!C2</f>
        <v>676723</v>
      </c>
      <c r="D2" s="2">
        <f>'Compléter avc fascic acompte ok'!D2</f>
        <v>678769</v>
      </c>
      <c r="E2" s="2">
        <f>'Compléter avc fascic acompte ok'!E2</f>
        <v>744019</v>
      </c>
      <c r="F2" s="2">
        <f>'Compléter avc fascic acompte ok'!F2</f>
        <v>725525</v>
      </c>
      <c r="G2" s="2">
        <f>'Compléter avc fascic acompte ok'!G2</f>
        <v>723171</v>
      </c>
      <c r="H2" s="2">
        <f>'Compléter avc fascic acompte ok'!H2</f>
        <v>715348</v>
      </c>
      <c r="I2" s="2">
        <f>'Compléter avc fascic acompte ok'!I2</f>
        <v>711599</v>
      </c>
      <c r="J2" s="2">
        <f>'Compléter avc fascic acompte ok'!J2</f>
        <v>712279</v>
      </c>
      <c r="K2" s="2">
        <f>'Compléter avc fascic acompte ok'!K2</f>
        <v>715909.85795642762</v>
      </c>
      <c r="L2" s="2">
        <f>'Compléter avc fascic acompte ok'!L2</f>
        <v>709842.13447587076</v>
      </c>
      <c r="M2" s="2">
        <f>'Compléter avc fascic acompte ok'!M2</f>
        <v>684350.19724672846</v>
      </c>
      <c r="N2" s="2">
        <f>'Compléter avc fascic acompte ok'!N2</f>
        <v>683429</v>
      </c>
      <c r="O2" s="2">
        <f>'Compléter avc fascic acompte ok'!O2</f>
        <v>691466</v>
      </c>
      <c r="P2" s="2">
        <f>'Compléter avc fascic acompte ok'!P2</f>
        <v>713151</v>
      </c>
      <c r="Q2" s="2">
        <f>'Compléter avc fascic acompte ok'!Q2</f>
        <v>723966</v>
      </c>
      <c r="R2" s="2">
        <f>'Compléter avc fascic acompte ok'!R2</f>
        <v>733492</v>
      </c>
      <c r="S2" s="2">
        <f>'Compléter avc fascic acompte ok'!S2</f>
        <v>737026</v>
      </c>
      <c r="T2" s="2">
        <f>'Compléter avc fascic acompte ok'!T2</f>
        <v>752765</v>
      </c>
      <c r="U2" s="2">
        <f>'Compléter avc fascic acompte ok'!U2</f>
        <v>788220</v>
      </c>
      <c r="V2" s="2">
        <f>'Compléter avc fascic acompte ok'!V2</f>
        <v>790190</v>
      </c>
      <c r="W2" s="2">
        <f>'Compléter avc fascic acompte ok'!W2</f>
        <v>821500</v>
      </c>
      <c r="X2" s="2">
        <f>'Compléter avc fascic acompte ok'!X2</f>
        <v>836158</v>
      </c>
      <c r="Y2" s="2">
        <f>'Compléter avc fascic acompte ok'!Y2</f>
        <v>827199</v>
      </c>
      <c r="Z2" s="437">
        <f>X2/B2-1</f>
        <v>0.26783003977140907</v>
      </c>
      <c r="AA2" s="437">
        <f>Y2/B2-1</f>
        <v>0.25424589738885461</v>
      </c>
      <c r="AB2" s="437">
        <f>(X2/B2)^(1/21)-1</f>
        <v>1.1364414086359353E-2</v>
      </c>
      <c r="AC2" s="437">
        <f>(Y2/B2)^(1/22)-1</f>
        <v>1.035022011428488E-2</v>
      </c>
    </row>
    <row r="3" spans="1:29" ht="13" x14ac:dyDescent="0.25">
      <c r="A3" s="399" t="s">
        <v>72</v>
      </c>
      <c r="B3" s="2">
        <f>'Compléter avc fascic acompte ok'!B3</f>
        <v>687000</v>
      </c>
      <c r="C3" s="2">
        <f>'Compléter avc fascic acompte ok'!C3</f>
        <v>676390</v>
      </c>
      <c r="D3" s="2">
        <f>'Compléter avc fascic acompte ok'!D3</f>
        <v>655605</v>
      </c>
      <c r="E3" s="2">
        <f>'Compléter avc fascic acompte ok'!E3</f>
        <v>636763</v>
      </c>
      <c r="F3" s="2">
        <f>'Compléter avc fascic acompte ok'!F3</f>
        <v>621931</v>
      </c>
      <c r="G3" s="2">
        <f>'Compléter avc fascic acompte ok'!G3</f>
        <v>606458</v>
      </c>
      <c r="H3" s="2">
        <f>'Compléter avc fascic acompte ok'!H3</f>
        <v>584426</v>
      </c>
      <c r="I3" s="2">
        <f>'Compléter avc fascic acompte ok'!I3</f>
        <v>566430</v>
      </c>
      <c r="J3" s="2">
        <f>'Compléter avc fascic acompte ok'!J3</f>
        <v>552133</v>
      </c>
      <c r="K3" s="2">
        <f>'Compléter avc fascic acompte ok'!K3</f>
        <v>537223</v>
      </c>
      <c r="L3" s="2">
        <f>'Compléter avc fascic acompte ok'!L3</f>
        <v>528375</v>
      </c>
      <c r="M3" s="2">
        <f>'Compléter avc fascic acompte ok'!M3</f>
        <v>518487</v>
      </c>
      <c r="N3" s="2">
        <f>'Compléter avc fascic acompte ok'!N3</f>
        <v>513085</v>
      </c>
      <c r="O3" s="2">
        <f>'Compléter avc fascic acompte ok'!O3</f>
        <v>504510</v>
      </c>
      <c r="P3" s="2">
        <f>'Compléter avc fascic acompte ok'!P3</f>
        <v>495706</v>
      </c>
      <c r="Q3" s="2">
        <f>'Compléter avc fascic acompte ok'!Q3</f>
        <v>485436</v>
      </c>
      <c r="R3" s="2">
        <f>'Compléter avc fascic acompte ok'!R3</f>
        <v>477593</v>
      </c>
      <c r="S3" s="2">
        <f>'Compléter avc fascic acompte ok'!S3</f>
        <v>469850</v>
      </c>
      <c r="T3" s="2">
        <f>'Compléter avc fascic acompte ok'!T3</f>
        <v>460643</v>
      </c>
      <c r="U3" s="2">
        <f>'Compléter avc fascic acompte ok'!U3</f>
        <v>450417</v>
      </c>
      <c r="V3" s="2">
        <f>'Compléter avc fascic acompte ok'!V3</f>
        <v>443033</v>
      </c>
      <c r="W3" s="2">
        <f>'Compléter avc fascic acompte ok'!W3</f>
        <v>436863</v>
      </c>
      <c r="X3" s="2">
        <f>'Compléter avc fascic acompte ok'!X3</f>
        <v>430081</v>
      </c>
      <c r="Y3" s="2">
        <f>'Compléter avc fascic acompte ok'!Y3</f>
        <v>421381</v>
      </c>
      <c r="Z3" s="437">
        <f>X3/B3-1</f>
        <v>-0.37397234352256181</v>
      </c>
      <c r="AA3" s="440">
        <f>Y3/B3-1</f>
        <v>-0.38663609898107709</v>
      </c>
      <c r="AB3" s="437">
        <f>(X3/B3)^(1/21)-1</f>
        <v>-2.2056021089719269E-2</v>
      </c>
      <c r="AC3" s="440">
        <f>(Y3/B3)^(1/22)-1</f>
        <v>-2.1973037183242727E-2</v>
      </c>
    </row>
    <row r="4" spans="1:29" ht="13" x14ac:dyDescent="0.3">
      <c r="A4" s="399" t="s">
        <v>70</v>
      </c>
      <c r="B4" s="2">
        <f>'Compléter avc fascic acompte ok'!B4</f>
        <v>15413792</v>
      </c>
      <c r="C4" s="2">
        <f>'Compléter avc fascic acompte ok'!C4</f>
        <v>15802363</v>
      </c>
      <c r="D4" s="2">
        <f>'Compléter avc fascic acompte ok'!D4</f>
        <v>16502649</v>
      </c>
      <c r="E4" s="2">
        <f>'Compléter avc fascic acompte ok'!E4</f>
        <v>19616421</v>
      </c>
      <c r="F4" s="2">
        <f>'Compléter avc fascic acompte ok'!F4</f>
        <v>19711559</v>
      </c>
      <c r="G4" s="2">
        <f>'Compléter avc fascic acompte ok'!G4</f>
        <v>19796457</v>
      </c>
      <c r="H4" s="2">
        <f>'Compléter avc fascic acompte ok'!H4</f>
        <v>19750058</v>
      </c>
      <c r="I4" s="2">
        <f>'Compléter avc fascic acompte ok'!I4</f>
        <v>19843786</v>
      </c>
      <c r="J4" s="2">
        <f>'Compléter avc fascic acompte ok'!J4</f>
        <v>20497119</v>
      </c>
      <c r="K4" s="2">
        <f>'Compléter avc fascic acompte ok'!K4</f>
        <v>20603251.65108702</v>
      </c>
      <c r="L4" s="2">
        <f>'Compléter avc fascic acompte ok'!L4</f>
        <v>20910166.482587487</v>
      </c>
      <c r="M4" s="2">
        <f>'Compléter avc fascic acompte ok'!M4</f>
        <v>21014671</v>
      </c>
      <c r="N4" s="2">
        <f>'Compléter avc fascic acompte ok'!N4</f>
        <v>21071519</v>
      </c>
      <c r="O4" s="2">
        <f>'Compléter avc fascic acompte ok'!O4</f>
        <v>21134116</v>
      </c>
      <c r="P4" s="2">
        <f>'Compléter avc fascic acompte ok'!P4</f>
        <v>21181978</v>
      </c>
      <c r="Q4" s="2">
        <f>'Compléter avc fascic acompte ok'!Q4</f>
        <v>21961348</v>
      </c>
      <c r="R4" s="2">
        <f>'Compléter avc fascic acompte ok'!R4</f>
        <v>22039370</v>
      </c>
      <c r="S4" s="2">
        <f>'Compléter avc fascic acompte ok'!S4</f>
        <v>22649701</v>
      </c>
      <c r="T4" s="2">
        <f>'Compléter avc fascic acompte ok'!T4</f>
        <v>22956237</v>
      </c>
      <c r="U4" s="2">
        <f>'Compléter avc fascic acompte ok'!U4</f>
        <v>23228359</v>
      </c>
      <c r="V4" s="2">
        <f>'Compléter avc fascic acompte ok'!V4</f>
        <v>22925462</v>
      </c>
      <c r="W4" s="2">
        <f>'Compléter avc fascic acompte ok'!W4</f>
        <v>24071505</v>
      </c>
      <c r="X4" s="2">
        <f>'Compléter avc fascic acompte ok'!X4</f>
        <v>24305682</v>
      </c>
      <c r="Y4" s="2">
        <f>'Compléter avc fascic acompte ok'!Y4</f>
        <v>24576513</v>
      </c>
      <c r="Z4" s="527" t="s">
        <v>102</v>
      </c>
      <c r="AA4" s="527"/>
      <c r="AB4" s="527"/>
    </row>
    <row r="5" spans="1:29" x14ac:dyDescent="0.25">
      <c r="A5" s="420" t="s">
        <v>103</v>
      </c>
      <c r="B5" s="434">
        <f>'Compléter avc fascic acompte ok'!B5</f>
        <v>1113157</v>
      </c>
      <c r="C5" s="434">
        <f>'Compléter avc fascic acompte ok'!C5</f>
        <v>1128987</v>
      </c>
      <c r="D5" s="434">
        <f>'Compléter avc fascic acompte ok'!D5</f>
        <v>1125443</v>
      </c>
      <c r="E5" s="434">
        <f>'Compléter avc fascic acompte ok'!E5</f>
        <v>1158735</v>
      </c>
      <c r="F5" s="434">
        <f>'Compléter avc fascic acompte ok'!F5</f>
        <v>1201328</v>
      </c>
      <c r="G5" s="434">
        <f>'Compléter avc fascic acompte ok'!G5</f>
        <v>1246491</v>
      </c>
      <c r="H5" s="434">
        <f>'Compléter avc fascic acompte ok'!H5</f>
        <v>1229029</v>
      </c>
      <c r="I5" s="434">
        <f>'Compléter avc fascic acompte ok'!I5</f>
        <v>1273269</v>
      </c>
      <c r="J5" s="434">
        <f>'Compléter avc fascic acompte ok'!J5</f>
        <v>1342154</v>
      </c>
      <c r="K5" s="434">
        <f>'Compléter avc fascic acompte ok'!K5</f>
        <v>1343136.4975189632</v>
      </c>
      <c r="L5" s="434">
        <f>'Compléter avc fascic acompte ok'!L5</f>
        <v>1437926</v>
      </c>
      <c r="M5" s="434">
        <f>'Compléter avc fascic acompte ok'!M5</f>
        <v>1500537.3238065001</v>
      </c>
      <c r="N5" s="434">
        <f>'Compléter avc fascic acompte ok'!N5</f>
        <v>1468021</v>
      </c>
      <c r="O5" s="434">
        <f>'Compléter avc fascic acompte ok'!O5</f>
        <v>1459787</v>
      </c>
      <c r="P5" s="434">
        <f>'Compléter avc fascic acompte ok'!P5</f>
        <v>1420137</v>
      </c>
      <c r="Q5" s="434">
        <f>'Compléter avc fascic acompte ok'!Q5</f>
        <v>1394972</v>
      </c>
      <c r="R5" s="434">
        <f>'Compléter avc fascic acompte ok'!R5</f>
        <v>1537888</v>
      </c>
      <c r="S5" s="434">
        <f>'Compléter avc fascic acompte ok'!S5</f>
        <v>1684451</v>
      </c>
      <c r="T5" s="434">
        <f>'Compléter avc fascic acompte ok'!T5</f>
        <v>1753519</v>
      </c>
      <c r="U5" s="434">
        <f>'Compléter avc fascic acompte ok'!U5</f>
        <v>1999392</v>
      </c>
      <c r="V5" s="434">
        <f>'Compléter avc fascic acompte ok'!V5</f>
        <v>2174424</v>
      </c>
      <c r="W5" s="434">
        <f>'Compléter avc fascic acompte ok'!W5</f>
        <v>2447941</v>
      </c>
      <c r="X5" s="434">
        <f>'Compléter avc fascic acompte ok'!X5</f>
        <v>2618226</v>
      </c>
      <c r="Y5" s="434">
        <f>'Compléter avc fascic acompte ok'!Y5</f>
        <v>2746002</v>
      </c>
    </row>
    <row r="6" spans="1:29" s="67" customFormat="1" x14ac:dyDescent="0.25">
      <c r="A6" s="421" t="s">
        <v>36</v>
      </c>
      <c r="B6" s="403">
        <f t="shared" ref="B6:R6" si="4">B7-SUM(B2:B5)</f>
        <v>5048854</v>
      </c>
      <c r="C6" s="403">
        <f t="shared" si="4"/>
        <v>5101558</v>
      </c>
      <c r="D6" s="403">
        <f t="shared" si="4"/>
        <v>5165100</v>
      </c>
      <c r="E6" s="403">
        <f t="shared" si="4"/>
        <v>5217536</v>
      </c>
      <c r="F6" s="403">
        <f t="shared" si="4"/>
        <v>5295445</v>
      </c>
      <c r="G6" s="403">
        <f t="shared" si="4"/>
        <v>5326789</v>
      </c>
      <c r="H6" s="403">
        <f t="shared" si="4"/>
        <v>5341854</v>
      </c>
      <c r="I6" s="403">
        <f t="shared" si="4"/>
        <v>5329810</v>
      </c>
      <c r="J6" s="403">
        <f t="shared" si="4"/>
        <v>5297929</v>
      </c>
      <c r="K6" s="403">
        <f t="shared" si="4"/>
        <v>5293868.4909565523</v>
      </c>
      <c r="L6" s="403">
        <f t="shared" si="4"/>
        <v>5305165.3829366416</v>
      </c>
      <c r="M6" s="403">
        <f t="shared" si="4"/>
        <v>5438714.8027532697</v>
      </c>
      <c r="N6" s="403">
        <f t="shared" si="4"/>
        <v>5427886</v>
      </c>
      <c r="O6" s="403">
        <f t="shared" si="4"/>
        <v>5465462</v>
      </c>
      <c r="P6" s="403">
        <f t="shared" si="4"/>
        <v>5469593</v>
      </c>
      <c r="Q6" s="403">
        <f t="shared" si="4"/>
        <v>5497917.8960601315</v>
      </c>
      <c r="R6" s="403">
        <f t="shared" si="4"/>
        <v>5553283</v>
      </c>
      <c r="S6" s="403">
        <f t="shared" ref="S6:T6" si="5">S7-SUM(S2:S5)</f>
        <v>5650144</v>
      </c>
      <c r="T6" s="403">
        <f t="shared" si="5"/>
        <v>5788338</v>
      </c>
      <c r="U6" s="403">
        <f t="shared" ref="U6:W6" si="6">U7-SUM(U2:U5)</f>
        <v>5580313</v>
      </c>
      <c r="V6" s="403">
        <f t="shared" si="6"/>
        <v>5479134</v>
      </c>
      <c r="W6" s="403">
        <f t="shared" si="6"/>
        <v>5434537</v>
      </c>
      <c r="X6" s="403">
        <f t="shared" ref="X6:Y6" si="7">X7-SUM(X2:X5)</f>
        <v>5460118</v>
      </c>
      <c r="Y6" s="403">
        <f t="shared" si="7"/>
        <v>5427080</v>
      </c>
    </row>
    <row r="7" spans="1:29" x14ac:dyDescent="0.25">
      <c r="A7" s="422" t="s">
        <v>37</v>
      </c>
      <c r="B7" s="424">
        <v>22922322</v>
      </c>
      <c r="C7" s="424">
        <v>23386021</v>
      </c>
      <c r="D7" s="424">
        <v>24127566</v>
      </c>
      <c r="E7" s="424">
        <v>27373474</v>
      </c>
      <c r="F7" s="424">
        <v>27555788</v>
      </c>
      <c r="G7" s="424">
        <v>27699366</v>
      </c>
      <c r="H7" s="424">
        <v>27620715</v>
      </c>
      <c r="I7" s="424">
        <v>27724894</v>
      </c>
      <c r="J7" s="424">
        <v>28401614</v>
      </c>
      <c r="K7" s="424">
        <v>28493389.497518964</v>
      </c>
      <c r="L7" s="424">
        <v>28891475</v>
      </c>
      <c r="M7" s="424">
        <v>29156760.323806502</v>
      </c>
      <c r="N7" s="424">
        <v>29163940</v>
      </c>
      <c r="O7" s="424">
        <v>29255341</v>
      </c>
      <c r="P7" s="424">
        <v>29280565</v>
      </c>
      <c r="Q7" s="424">
        <v>30063639.896060131</v>
      </c>
      <c r="R7" s="424">
        <v>30341626</v>
      </c>
      <c r="S7" s="424">
        <v>31191172</v>
      </c>
      <c r="T7" s="424">
        <v>31711502</v>
      </c>
      <c r="U7" s="424">
        <v>32046701</v>
      </c>
      <c r="V7" s="424">
        <v>31812243</v>
      </c>
      <c r="W7" s="424">
        <v>33212346</v>
      </c>
      <c r="X7" s="424">
        <v>33650265</v>
      </c>
      <c r="Y7" s="424">
        <v>33998175</v>
      </c>
    </row>
    <row r="8" spans="1:29" s="67" customFormat="1" x14ac:dyDescent="0.25">
      <c r="A8" s="65" t="s">
        <v>40</v>
      </c>
      <c r="B8" s="71">
        <f t="shared" ref="B8:R8" si="8">SUM(B2:B3)/B7</f>
        <v>5.8742696311481879E-2</v>
      </c>
      <c r="C8" s="71">
        <f t="shared" si="8"/>
        <v>5.7859906993156296E-2</v>
      </c>
      <c r="D8" s="71">
        <f t="shared" si="8"/>
        <v>5.5304956994004284E-2</v>
      </c>
      <c r="E8" s="71">
        <f t="shared" si="8"/>
        <v>5.0442336986529369E-2</v>
      </c>
      <c r="F8" s="71">
        <f t="shared" si="8"/>
        <v>4.8899200414809406E-2</v>
      </c>
      <c r="G8" s="71">
        <f t="shared" si="8"/>
        <v>4.8002145608675661E-2</v>
      </c>
      <c r="H8" s="71">
        <f t="shared" si="8"/>
        <v>4.7057941838218161E-2</v>
      </c>
      <c r="I8" s="71">
        <f t="shared" si="8"/>
        <v>4.609680383268553E-2</v>
      </c>
      <c r="J8" s="71">
        <f t="shared" si="8"/>
        <v>4.4519019236019475E-2</v>
      </c>
      <c r="K8" s="71">
        <f t="shared" si="8"/>
        <v>4.3979774960277822E-2</v>
      </c>
      <c r="L8" s="71">
        <f t="shared" si="8"/>
        <v>4.2857525774501672E-2</v>
      </c>
      <c r="M8" s="114">
        <f t="shared" si="8"/>
        <v>4.1254144283808226E-2</v>
      </c>
      <c r="N8" s="114">
        <f t="shared" si="8"/>
        <v>4.1027172597392532E-2</v>
      </c>
      <c r="O8" s="114">
        <f t="shared" si="8"/>
        <v>4.0880603647723675E-2</v>
      </c>
      <c r="P8" s="114">
        <f t="shared" si="8"/>
        <v>4.1285303067068548E-2</v>
      </c>
      <c r="Q8" s="114">
        <f t="shared" si="8"/>
        <v>4.022806300838154E-2</v>
      </c>
      <c r="R8" s="114">
        <f t="shared" si="8"/>
        <v>3.9914966982982386E-2</v>
      </c>
      <c r="S8" s="114">
        <f t="shared" ref="S8" si="9">SUM(S2:S3)/S7</f>
        <v>3.8692871175215859E-2</v>
      </c>
      <c r="T8" s="114">
        <f t="shared" ref="T8:Y8" si="10">SUM(T2:T3)/T7</f>
        <v>3.8263971224068792E-2</v>
      </c>
      <c r="U8" s="114">
        <f t="shared" si="10"/>
        <v>3.865099874086883E-2</v>
      </c>
      <c r="V8" s="114">
        <f t="shared" si="10"/>
        <v>3.8765672700287121E-2</v>
      </c>
      <c r="W8" s="114">
        <f t="shared" si="10"/>
        <v>3.7888410532637473E-2</v>
      </c>
      <c r="X8" s="73">
        <f t="shared" si="10"/>
        <v>3.7629391625890615E-2</v>
      </c>
      <c r="Y8" s="73">
        <f t="shared" si="10"/>
        <v>3.6724912440153037E-2</v>
      </c>
    </row>
    <row r="9" spans="1:29" x14ac:dyDescent="0.25">
      <c r="B9" s="4"/>
      <c r="C9" s="4"/>
      <c r="D9" s="4"/>
      <c r="E9" s="4"/>
      <c r="F9" s="4"/>
      <c r="G9" s="4"/>
      <c r="H9" s="4"/>
      <c r="I9" s="4"/>
      <c r="J9" s="79">
        <f>(J8-B8)*100</f>
        <v>-1.4223677075462404</v>
      </c>
      <c r="K9" s="4"/>
      <c r="L9" s="4"/>
      <c r="M9" s="79">
        <f>(M8-E8)*100</f>
        <v>-0.9188192702721143</v>
      </c>
      <c r="N9" s="79">
        <f>(N8-F8)*100</f>
        <v>-0.78720278174168734</v>
      </c>
      <c r="O9" s="79">
        <f>(O8-G8)*100</f>
        <v>-0.7121541960951987</v>
      </c>
      <c r="P9" s="79">
        <f>(P8-H8)*100</f>
        <v>-0.5772638771149613</v>
      </c>
    </row>
    <row r="10" spans="1:29" ht="13" x14ac:dyDescent="0.3">
      <c r="A10" s="3" t="s">
        <v>3</v>
      </c>
      <c r="B10" s="399">
        <v>2000</v>
      </c>
      <c r="C10" s="399">
        <f t="shared" ref="C10:J10" si="11">+B10+1</f>
        <v>2001</v>
      </c>
      <c r="D10" s="399">
        <f t="shared" si="11"/>
        <v>2002</v>
      </c>
      <c r="E10" s="399">
        <f t="shared" si="11"/>
        <v>2003</v>
      </c>
      <c r="F10" s="399">
        <f t="shared" si="11"/>
        <v>2004</v>
      </c>
      <c r="G10" s="399">
        <f t="shared" si="11"/>
        <v>2005</v>
      </c>
      <c r="H10" s="399">
        <f t="shared" si="11"/>
        <v>2006</v>
      </c>
      <c r="I10" s="399">
        <f t="shared" si="11"/>
        <v>2007</v>
      </c>
      <c r="J10" s="399">
        <f t="shared" si="11"/>
        <v>2008</v>
      </c>
      <c r="K10" s="399">
        <f t="shared" ref="K10:R10" si="12">+J10+1</f>
        <v>2009</v>
      </c>
      <c r="L10" s="399">
        <f t="shared" si="12"/>
        <v>2010</v>
      </c>
      <c r="M10" s="399">
        <f t="shared" si="12"/>
        <v>2011</v>
      </c>
      <c r="N10" s="399">
        <f t="shared" si="12"/>
        <v>2012</v>
      </c>
      <c r="O10" s="399">
        <f t="shared" si="12"/>
        <v>2013</v>
      </c>
      <c r="P10" s="399">
        <f t="shared" si="12"/>
        <v>2014</v>
      </c>
      <c r="Q10" s="399">
        <f t="shared" si="12"/>
        <v>2015</v>
      </c>
      <c r="R10" s="399">
        <f t="shared" si="12"/>
        <v>2016</v>
      </c>
      <c r="S10" s="399">
        <f t="shared" ref="S10" si="13">+R10+1</f>
        <v>2017</v>
      </c>
      <c r="T10" s="399">
        <f t="shared" ref="T10:U10" si="14">+S10+1</f>
        <v>2018</v>
      </c>
      <c r="U10" s="399">
        <f t="shared" si="14"/>
        <v>2019</v>
      </c>
      <c r="V10" s="399">
        <v>2020</v>
      </c>
      <c r="W10" s="399">
        <v>2021</v>
      </c>
      <c r="X10" s="399">
        <v>2022</v>
      </c>
      <c r="Y10" s="399">
        <v>2023</v>
      </c>
    </row>
    <row r="11" spans="1:29" x14ac:dyDescent="0.25">
      <c r="A11" s="399" t="s">
        <v>0</v>
      </c>
      <c r="B11" s="72">
        <f t="shared" ref="B11:R11" si="15">B2/B$7</f>
        <v>2.8771910629298375E-2</v>
      </c>
      <c r="C11" s="72">
        <f t="shared" si="15"/>
        <v>2.8937073134416496E-2</v>
      </c>
      <c r="D11" s="72">
        <f t="shared" si="15"/>
        <v>2.813251034107626E-2</v>
      </c>
      <c r="E11" s="72">
        <f t="shared" si="15"/>
        <v>2.7180291401814764E-2</v>
      </c>
      <c r="F11" s="72">
        <f t="shared" si="15"/>
        <v>2.6329314189817397E-2</v>
      </c>
      <c r="G11" s="72">
        <f t="shared" si="15"/>
        <v>2.6107853876511107E-2</v>
      </c>
      <c r="H11" s="72">
        <f t="shared" si="15"/>
        <v>2.5898967495953672E-2</v>
      </c>
      <c r="I11" s="72">
        <f t="shared" si="15"/>
        <v>2.5666428156587363E-2</v>
      </c>
      <c r="J11" s="82">
        <f t="shared" si="15"/>
        <v>2.5078821224737438E-2</v>
      </c>
      <c r="K11" s="72">
        <f t="shared" si="15"/>
        <v>2.5125471928103351E-2</v>
      </c>
      <c r="L11" s="72">
        <f t="shared" si="15"/>
        <v>2.4569259079914429E-2</v>
      </c>
      <c r="M11" s="82">
        <f t="shared" si="15"/>
        <v>2.3471407304739421E-2</v>
      </c>
      <c r="N11" s="82">
        <f t="shared" si="15"/>
        <v>2.3434042176742925E-2</v>
      </c>
      <c r="O11" s="82">
        <f t="shared" si="15"/>
        <v>2.3635547437303842E-2</v>
      </c>
      <c r="P11" s="82">
        <f t="shared" si="15"/>
        <v>2.4355780019955215E-2</v>
      </c>
      <c r="Q11" s="82">
        <f t="shared" si="15"/>
        <v>2.4081116009338457E-2</v>
      </c>
      <c r="R11" s="82">
        <f t="shared" si="15"/>
        <v>2.4174446023426693E-2</v>
      </c>
      <c r="S11" s="82">
        <f t="shared" ref="S11" si="16">S2/S$7</f>
        <v>2.3629314089255768E-2</v>
      </c>
      <c r="T11" s="82">
        <f t="shared" ref="T11:Y11" si="17">T2/T$7</f>
        <v>2.3737916923644929E-2</v>
      </c>
      <c r="U11" s="233">
        <f t="shared" si="17"/>
        <v>2.459597947383102E-2</v>
      </c>
      <c r="V11" s="233">
        <f t="shared" si="17"/>
        <v>2.4839179054428825E-2</v>
      </c>
      <c r="W11" s="233">
        <f t="shared" si="17"/>
        <v>2.4734777844359443E-2</v>
      </c>
      <c r="X11" s="382">
        <f t="shared" si="17"/>
        <v>2.4848481876740051E-2</v>
      </c>
      <c r="Y11" s="382">
        <f t="shared" si="17"/>
        <v>2.4330688338418165E-2</v>
      </c>
    </row>
    <row r="12" spans="1:29" x14ac:dyDescent="0.25">
      <c r="A12" s="399" t="s">
        <v>1</v>
      </c>
      <c r="B12" s="72">
        <f t="shared" ref="B12:R12" si="18">B3/B$7</f>
        <v>2.9970785682183507E-2</v>
      </c>
      <c r="C12" s="72">
        <f t="shared" si="18"/>
        <v>2.89228338587398E-2</v>
      </c>
      <c r="D12" s="72">
        <f t="shared" si="18"/>
        <v>2.7172446652928024E-2</v>
      </c>
      <c r="E12" s="72">
        <f t="shared" si="18"/>
        <v>2.3262045584714605E-2</v>
      </c>
      <c r="F12" s="72">
        <f t="shared" si="18"/>
        <v>2.2569886224992005E-2</v>
      </c>
      <c r="G12" s="72">
        <f t="shared" si="18"/>
        <v>2.1894291732164554E-2</v>
      </c>
      <c r="H12" s="72">
        <f t="shared" si="18"/>
        <v>2.1158974342264492E-2</v>
      </c>
      <c r="I12" s="72">
        <f t="shared" si="18"/>
        <v>2.0430375676098168E-2</v>
      </c>
      <c r="J12" s="82">
        <f t="shared" si="18"/>
        <v>1.9440198011282037E-2</v>
      </c>
      <c r="K12" s="72">
        <f t="shared" si="18"/>
        <v>1.8854303032174471E-2</v>
      </c>
      <c r="L12" s="72">
        <f t="shared" si="18"/>
        <v>1.8288266694587243E-2</v>
      </c>
      <c r="M12" s="82">
        <f t="shared" si="18"/>
        <v>1.7782736979068806E-2</v>
      </c>
      <c r="N12" s="82">
        <f t="shared" si="18"/>
        <v>1.7593130420649611E-2</v>
      </c>
      <c r="O12" s="82">
        <f t="shared" si="18"/>
        <v>1.7245056210419833E-2</v>
      </c>
      <c r="P12" s="82">
        <f t="shared" si="18"/>
        <v>1.6929523047113332E-2</v>
      </c>
      <c r="Q12" s="82">
        <f t="shared" si="18"/>
        <v>1.6146946999043083E-2</v>
      </c>
      <c r="R12" s="82">
        <f t="shared" si="18"/>
        <v>1.5740520959555693E-2</v>
      </c>
      <c r="S12" s="82">
        <f t="shared" ref="S12:T12" si="19">S3/S$7</f>
        <v>1.5063557085960091E-2</v>
      </c>
      <c r="T12" s="82">
        <f t="shared" si="19"/>
        <v>1.4526054300423865E-2</v>
      </c>
      <c r="U12" s="233">
        <f>U3/U$7</f>
        <v>1.4055019267037814E-2</v>
      </c>
      <c r="V12" s="233">
        <f>V3/V$7</f>
        <v>1.3926493645858294E-2</v>
      </c>
      <c r="W12" s="233">
        <f>W3/W$7</f>
        <v>1.3153632688278028E-2</v>
      </c>
      <c r="X12" s="382">
        <f>X3/X$7</f>
        <v>1.2780909749150565E-2</v>
      </c>
      <c r="Y12" s="382">
        <f>Y3/Y$7</f>
        <v>1.2394224101734873E-2</v>
      </c>
    </row>
    <row r="13" spans="1:29" x14ac:dyDescent="0.25">
      <c r="A13" s="399" t="s">
        <v>2</v>
      </c>
      <c r="B13" s="72">
        <f t="shared" ref="B13:R13" si="20">B4/B$7</f>
        <v>0.67243589022089467</v>
      </c>
      <c r="C13" s="72">
        <f t="shared" si="20"/>
        <v>0.67571832762828699</v>
      </c>
      <c r="D13" s="72">
        <f t="shared" si="20"/>
        <v>0.68397487753219699</v>
      </c>
      <c r="E13" s="72">
        <f t="shared" si="20"/>
        <v>0.71662153660145589</v>
      </c>
      <c r="F13" s="72">
        <f t="shared" si="20"/>
        <v>0.7153328004991184</v>
      </c>
      <c r="G13" s="72">
        <f t="shared" si="20"/>
        <v>0.71468989579039466</v>
      </c>
      <c r="H13" s="72">
        <f t="shared" si="20"/>
        <v>0.71504513912836798</v>
      </c>
      <c r="I13" s="72">
        <f t="shared" si="20"/>
        <v>0.71573893122909682</v>
      </c>
      <c r="J13" s="80">
        <f t="shared" si="20"/>
        <v>0.72168852798295191</v>
      </c>
      <c r="K13" s="72">
        <f t="shared" si="20"/>
        <v>0.72308882917846717</v>
      </c>
      <c r="L13" s="72">
        <f t="shared" si="20"/>
        <v>0.72374866574266239</v>
      </c>
      <c r="M13" s="80">
        <f t="shared" si="20"/>
        <v>0.72074780485270562</v>
      </c>
      <c r="N13" s="72">
        <f t="shared" si="20"/>
        <v>0.7225196252632532</v>
      </c>
      <c r="O13" s="72">
        <f t="shared" si="20"/>
        <v>0.7224019709768551</v>
      </c>
      <c r="P13" s="72">
        <f t="shared" si="20"/>
        <v>0.72341425105697243</v>
      </c>
      <c r="Q13" s="72">
        <f t="shared" si="20"/>
        <v>0.7304953118094677</v>
      </c>
      <c r="R13" s="72">
        <f t="shared" si="20"/>
        <v>0.72637405787020115</v>
      </c>
      <c r="S13" s="72">
        <f t="shared" ref="S13:T13" si="21">S4/S$7</f>
        <v>0.72615742043934739</v>
      </c>
      <c r="T13" s="72">
        <f t="shared" si="21"/>
        <v>0.72390885174723041</v>
      </c>
      <c r="U13" s="233">
        <f t="shared" ref="U13:V13" si="22">U4/U$7</f>
        <v>0.72482839965336843</v>
      </c>
      <c r="V13" s="233">
        <f t="shared" si="22"/>
        <v>0.72064902811159837</v>
      </c>
      <c r="W13" s="233">
        <f t="shared" ref="W13:X13" si="23">W4/W$7</f>
        <v>0.72477581077831721</v>
      </c>
      <c r="X13" s="233">
        <f t="shared" si="23"/>
        <v>0.72230284070571216</v>
      </c>
      <c r="Y13" s="233">
        <f t="shared" ref="Y13" si="24">Y4/Y$7</f>
        <v>0.72287741915558701</v>
      </c>
    </row>
    <row r="14" spans="1:29" x14ac:dyDescent="0.25">
      <c r="A14" s="420" t="str">
        <f>A5</f>
        <v>SSI</v>
      </c>
      <c r="B14" s="428">
        <f t="shared" ref="B14:R14" si="25">B5/B$7</f>
        <v>4.8562139559857852E-2</v>
      </c>
      <c r="C14" s="428">
        <f t="shared" si="25"/>
        <v>4.8276147532750439E-2</v>
      </c>
      <c r="D14" s="428">
        <f t="shared" si="25"/>
        <v>4.6645525702841306E-2</v>
      </c>
      <c r="E14" s="428">
        <f t="shared" si="25"/>
        <v>4.2330578866241093E-2</v>
      </c>
      <c r="F14" s="428">
        <f t="shared" si="25"/>
        <v>4.3596212890010623E-2</v>
      </c>
      <c r="G14" s="428">
        <f t="shared" si="25"/>
        <v>4.5000705070289332E-2</v>
      </c>
      <c r="H14" s="428">
        <f t="shared" si="25"/>
        <v>4.4496639569250832E-2</v>
      </c>
      <c r="I14" s="428">
        <f t="shared" si="25"/>
        <v>4.5925116972494108E-2</v>
      </c>
      <c r="J14" s="429">
        <f t="shared" si="25"/>
        <v>4.7256258042236612E-2</v>
      </c>
      <c r="K14" s="428">
        <f t="shared" si="25"/>
        <v>4.7138530066277849E-2</v>
      </c>
      <c r="L14" s="428">
        <f t="shared" si="25"/>
        <v>4.9769906174745318E-2</v>
      </c>
      <c r="M14" s="429">
        <f t="shared" si="25"/>
        <v>5.1464473663807943E-2</v>
      </c>
      <c r="N14" s="428">
        <f t="shared" si="25"/>
        <v>5.0336854348212209E-2</v>
      </c>
      <c r="O14" s="428">
        <f t="shared" si="25"/>
        <v>4.9898136548810007E-2</v>
      </c>
      <c r="P14" s="428">
        <f t="shared" si="25"/>
        <v>4.8501010824073917E-2</v>
      </c>
      <c r="Q14" s="428">
        <f t="shared" si="25"/>
        <v>4.6400635612416724E-2</v>
      </c>
      <c r="R14" s="428">
        <f t="shared" si="25"/>
        <v>5.0685747691966147E-2</v>
      </c>
      <c r="S14" s="428">
        <f t="shared" ref="S14:T14" si="26">S5/S$7</f>
        <v>5.4004094491864559E-2</v>
      </c>
      <c r="T14" s="428">
        <f t="shared" si="26"/>
        <v>5.5295993232991614E-2</v>
      </c>
      <c r="U14" s="430">
        <f t="shared" ref="U14:V14" si="27">U5/U$7</f>
        <v>6.2389947720359731E-2</v>
      </c>
      <c r="V14" s="430">
        <f t="shared" si="27"/>
        <v>6.8351797765407493E-2</v>
      </c>
      <c r="W14" s="430">
        <f t="shared" ref="W14:X14" si="28">W5/W$7</f>
        <v>7.3705753878392094E-2</v>
      </c>
      <c r="X14" s="430">
        <f t="shared" si="28"/>
        <v>7.7806994982060326E-2</v>
      </c>
      <c r="Y14" s="430">
        <f t="shared" ref="Y14" si="29">Y5/Y$7</f>
        <v>8.0769100106108632E-2</v>
      </c>
    </row>
    <row r="15" spans="1:29" x14ac:dyDescent="0.25">
      <c r="A15" s="422" t="s">
        <v>36</v>
      </c>
      <c r="B15" s="425">
        <f>100%-B16</f>
        <v>0.22025927390776556</v>
      </c>
      <c r="C15" s="425">
        <f t="shared" ref="C15:O15" si="30">100%-C16</f>
        <v>0.21814561784580633</v>
      </c>
      <c r="D15" s="425">
        <f t="shared" si="30"/>
        <v>0.21407463977095742</v>
      </c>
      <c r="E15" s="425">
        <f t="shared" si="30"/>
        <v>0.19060554754577363</v>
      </c>
      <c r="F15" s="425">
        <f t="shared" si="30"/>
        <v>0.19217178619606157</v>
      </c>
      <c r="G15" s="425">
        <f t="shared" si="30"/>
        <v>0.19230725353064038</v>
      </c>
      <c r="H15" s="425">
        <f t="shared" si="30"/>
        <v>0.19340027946416294</v>
      </c>
      <c r="I15" s="425">
        <f t="shared" si="30"/>
        <v>0.1922391479657235</v>
      </c>
      <c r="J15" s="426">
        <f t="shared" si="30"/>
        <v>0.18653619473879202</v>
      </c>
      <c r="K15" s="425">
        <f t="shared" si="30"/>
        <v>0.18579286579497711</v>
      </c>
      <c r="L15" s="425">
        <f t="shared" si="30"/>
        <v>0.18362390230809067</v>
      </c>
      <c r="M15" s="426">
        <f t="shared" si="30"/>
        <v>0.18653357719967822</v>
      </c>
      <c r="N15" s="425">
        <f t="shared" si="30"/>
        <v>0.18611634779114206</v>
      </c>
      <c r="O15" s="425">
        <f t="shared" si="30"/>
        <v>0.18681928882661114</v>
      </c>
      <c r="P15" s="425">
        <f>100%-P16</f>
        <v>0.18679943505188512</v>
      </c>
      <c r="Q15" s="425">
        <f>100%-Q16</f>
        <v>0.18287598956973405</v>
      </c>
      <c r="R15" s="425">
        <f>100%-R16</f>
        <v>0.18302522745485039</v>
      </c>
      <c r="S15" s="425">
        <f t="shared" ref="S15:Y15" si="31">100%-S16</f>
        <v>0.1811456138935722</v>
      </c>
      <c r="T15" s="425">
        <f t="shared" si="31"/>
        <v>0.18253118379570921</v>
      </c>
      <c r="U15" s="427">
        <f t="shared" si="31"/>
        <v>0.17413065388540294</v>
      </c>
      <c r="V15" s="427">
        <f t="shared" si="31"/>
        <v>0.1722335014227071</v>
      </c>
      <c r="W15" s="427">
        <f t="shared" si="31"/>
        <v>0.16363002481065325</v>
      </c>
      <c r="X15" s="427">
        <f t="shared" si="31"/>
        <v>0.16226077268633687</v>
      </c>
      <c r="Y15" s="427">
        <f t="shared" si="31"/>
        <v>0.15962856829815131</v>
      </c>
    </row>
    <row r="16" spans="1:29" s="67" customFormat="1" x14ac:dyDescent="0.25">
      <c r="A16" s="65"/>
      <c r="B16" s="68">
        <f t="shared" ref="B16:R16" si="32">SUM(B11:B14)</f>
        <v>0.77974072609223444</v>
      </c>
      <c r="C16" s="68">
        <f t="shared" si="32"/>
        <v>0.78185438215419367</v>
      </c>
      <c r="D16" s="68">
        <f t="shared" si="32"/>
        <v>0.78592536022904258</v>
      </c>
      <c r="E16" s="68">
        <f t="shared" si="32"/>
        <v>0.80939445245422637</v>
      </c>
      <c r="F16" s="68">
        <f t="shared" si="32"/>
        <v>0.80782821380393843</v>
      </c>
      <c r="G16" s="68">
        <f t="shared" si="32"/>
        <v>0.80769274646935962</v>
      </c>
      <c r="H16" s="68">
        <f t="shared" si="32"/>
        <v>0.80659972053583706</v>
      </c>
      <c r="I16" s="68">
        <f t="shared" si="32"/>
        <v>0.8077608520342765</v>
      </c>
      <c r="J16" s="81">
        <f t="shared" si="32"/>
        <v>0.81346380526120798</v>
      </c>
      <c r="K16" s="68">
        <f t="shared" si="32"/>
        <v>0.81420713420502289</v>
      </c>
      <c r="L16" s="68">
        <f t="shared" si="32"/>
        <v>0.81637609769190933</v>
      </c>
      <c r="M16" s="81">
        <f t="shared" si="32"/>
        <v>0.81346642280032178</v>
      </c>
      <c r="N16" s="69">
        <f t="shared" si="32"/>
        <v>0.81388365220885794</v>
      </c>
      <c r="O16" s="69">
        <f t="shared" si="32"/>
        <v>0.81318071117338886</v>
      </c>
      <c r="P16" s="69">
        <f t="shared" si="32"/>
        <v>0.81320056494811488</v>
      </c>
      <c r="Q16" s="69">
        <f t="shared" si="32"/>
        <v>0.81712401043026595</v>
      </c>
      <c r="R16" s="69">
        <f t="shared" si="32"/>
        <v>0.81697477254514961</v>
      </c>
      <c r="S16" s="69">
        <f t="shared" ref="S16:T16" si="33">SUM(S11:S14)</f>
        <v>0.8188543861064278</v>
      </c>
      <c r="T16" s="69">
        <f t="shared" si="33"/>
        <v>0.81746881620429079</v>
      </c>
      <c r="U16" s="234">
        <f t="shared" ref="U16:V16" si="34">SUM(U11:U14)</f>
        <v>0.82586934611459706</v>
      </c>
      <c r="V16" s="234">
        <f t="shared" si="34"/>
        <v>0.8277664985772929</v>
      </c>
      <c r="W16" s="234">
        <f t="shared" ref="W16:X16" si="35">SUM(W11:W14)</f>
        <v>0.83636997518934675</v>
      </c>
      <c r="X16" s="234">
        <f t="shared" si="35"/>
        <v>0.83773922731366313</v>
      </c>
      <c r="Y16" s="234">
        <f t="shared" ref="Y16" si="36">SUM(Y11:Y14)</f>
        <v>0.84037143170184869</v>
      </c>
    </row>
    <row r="17" spans="1:29" s="67" customFormat="1" x14ac:dyDescent="0.25">
      <c r="A17" s="65"/>
      <c r="B17" s="66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U17" s="213"/>
      <c r="V17" s="213"/>
      <c r="W17" s="213"/>
      <c r="X17" s="213"/>
      <c r="Y17" s="213"/>
    </row>
    <row r="18" spans="1:29" ht="13" x14ac:dyDescent="0.3">
      <c r="A18" s="3" t="s">
        <v>39</v>
      </c>
      <c r="B18" s="399">
        <v>2000</v>
      </c>
      <c r="C18" s="399">
        <f t="shared" ref="C18:J18" si="37">+B18+1</f>
        <v>2001</v>
      </c>
      <c r="D18" s="399">
        <f t="shared" si="37"/>
        <v>2002</v>
      </c>
      <c r="E18" s="399">
        <f t="shared" si="37"/>
        <v>2003</v>
      </c>
      <c r="F18" s="399">
        <f t="shared" si="37"/>
        <v>2004</v>
      </c>
      <c r="G18" s="399">
        <f t="shared" si="37"/>
        <v>2005</v>
      </c>
      <c r="H18" s="399">
        <f t="shared" si="37"/>
        <v>2006</v>
      </c>
      <c r="I18" s="399">
        <f t="shared" si="37"/>
        <v>2007</v>
      </c>
      <c r="J18" s="399">
        <f t="shared" si="37"/>
        <v>2008</v>
      </c>
      <c r="K18" s="399">
        <f t="shared" ref="K18:R18" si="38">+J18+1</f>
        <v>2009</v>
      </c>
      <c r="L18" s="399">
        <f t="shared" si="38"/>
        <v>2010</v>
      </c>
      <c r="M18" s="399">
        <f t="shared" si="38"/>
        <v>2011</v>
      </c>
      <c r="N18" s="399">
        <f t="shared" si="38"/>
        <v>2012</v>
      </c>
      <c r="O18" s="399">
        <f t="shared" si="38"/>
        <v>2013</v>
      </c>
      <c r="P18" s="399">
        <f t="shared" si="38"/>
        <v>2014</v>
      </c>
      <c r="Q18" s="399">
        <f t="shared" si="38"/>
        <v>2015</v>
      </c>
      <c r="R18" s="399">
        <f t="shared" si="38"/>
        <v>2016</v>
      </c>
      <c r="S18" s="399">
        <f t="shared" ref="S18" si="39">+R18+1</f>
        <v>2017</v>
      </c>
      <c r="T18" s="399">
        <f t="shared" ref="T18:U18" si="40">+S18+1</f>
        <v>2018</v>
      </c>
      <c r="U18" s="399">
        <f t="shared" si="40"/>
        <v>2019</v>
      </c>
      <c r="V18" s="399">
        <v>2020</v>
      </c>
      <c r="W18" s="399">
        <v>2021</v>
      </c>
      <c r="X18" s="399">
        <v>2022</v>
      </c>
      <c r="Y18" s="399">
        <v>2023</v>
      </c>
      <c r="Z18" s="438" t="str">
        <f>Z1</f>
        <v>évol 2022/2000</v>
      </c>
      <c r="AA18" s="439" t="str">
        <f>AA1</f>
        <v>évol 2023/2000</v>
      </c>
      <c r="AB18" s="439" t="str">
        <f>AB1</f>
        <v>rythme annuel moyen 2000-2022</v>
      </c>
      <c r="AC18" s="439" t="str">
        <f>AC1</f>
        <v>rythme annuel moyen 2000-2023</v>
      </c>
    </row>
    <row r="19" spans="1:29" x14ac:dyDescent="0.25">
      <c r="A19" s="399" t="s">
        <v>0</v>
      </c>
      <c r="B19" s="2">
        <f>'Compléter avc fascic acompte ok'!B17</f>
        <v>1497643</v>
      </c>
      <c r="C19" s="2">
        <f>'Compléter avc fascic acompte ok'!C17</f>
        <v>1521309</v>
      </c>
      <c r="D19" s="2">
        <f>'Compléter avc fascic acompte ok'!D17</f>
        <v>1538120</v>
      </c>
      <c r="E19" s="2">
        <f>'Compléter avc fascic acompte ok'!E17</f>
        <v>1555566</v>
      </c>
      <c r="F19" s="2">
        <f>'Compléter avc fascic acompte ok'!F17</f>
        <v>1560620</v>
      </c>
      <c r="G19" s="2">
        <f>'Compléter avc fascic acompte ok'!G17</f>
        <v>1568923</v>
      </c>
      <c r="H19" s="2">
        <f>'Compléter avc fascic acompte ok'!H17</f>
        <v>1562663</v>
      </c>
      <c r="I19" s="2">
        <f>'Compléter avc fascic acompte ok'!I17</f>
        <v>1557322</v>
      </c>
      <c r="J19" s="2">
        <f>'Compléter avc fascic acompte ok'!J17</f>
        <v>1550431</v>
      </c>
      <c r="K19" s="2">
        <f>'Compléter avc fascic acompte ok'!K17</f>
        <v>1546179</v>
      </c>
      <c r="L19" s="2">
        <f>'Compléter avc fascic acompte ok'!L17</f>
        <v>1532610</v>
      </c>
      <c r="M19" s="2">
        <f>'Compléter avc fascic acompte ok'!M17</f>
        <v>1549282</v>
      </c>
      <c r="N19" s="2">
        <f>'Compléter avc fascic acompte ok'!N17</f>
        <v>1561833</v>
      </c>
      <c r="O19" s="2">
        <f>'Compléter avc fascic acompte ok'!O17</f>
        <v>1578933</v>
      </c>
      <c r="P19" s="2">
        <f>'Compléter avc fascic acompte ok'!P17</f>
        <v>1606041</v>
      </c>
      <c r="Q19" s="2">
        <f>'Compléter avc fascic acompte ok'!Q17</f>
        <v>1627138.1018825478</v>
      </c>
      <c r="R19" s="2">
        <f>'Compléter avc fascic acompte ok'!R17</f>
        <v>1650636</v>
      </c>
      <c r="S19" s="2">
        <f>'Compléter avc fascic acompte ok'!S17</f>
        <v>1665372</v>
      </c>
      <c r="T19" s="2">
        <f>'Compléter avc fascic acompte ok'!T17</f>
        <v>1685926</v>
      </c>
      <c r="U19" s="2">
        <f>'Compléter avc fascic acompte ok'!U17</f>
        <v>1701721</v>
      </c>
      <c r="V19" s="2">
        <f>'Compléter avc fascic acompte ok'!V17</f>
        <v>1710286</v>
      </c>
      <c r="W19" s="2">
        <f>'Compléter avc fascic acompte ok'!W17</f>
        <v>1679951</v>
      </c>
      <c r="X19" s="2">
        <f>'Compléter avc fascic acompte ok'!X17</f>
        <v>1655898</v>
      </c>
      <c r="Y19" s="2">
        <f>'Compléter avc fascic acompte ok'!Y17</f>
        <v>1621516</v>
      </c>
      <c r="Z19" s="437">
        <f>X19/B19-1</f>
        <v>0.10566937514481078</v>
      </c>
      <c r="AA19" s="437">
        <f>Y19/B19-1</f>
        <v>8.2711968072497921E-2</v>
      </c>
      <c r="AB19" s="437">
        <f>(X19/B19)^(1/21)-1</f>
        <v>4.7948357986749013E-3</v>
      </c>
      <c r="AC19" s="437">
        <f>(Y19/B19)^(1/22)-1</f>
        <v>3.6187580963387145E-3</v>
      </c>
    </row>
    <row r="20" spans="1:29" ht="13" x14ac:dyDescent="0.25">
      <c r="A20" s="399" t="s">
        <v>1</v>
      </c>
      <c r="B20" s="2">
        <f>'Compléter avc fascic acompte ok'!B18</f>
        <v>1725656</v>
      </c>
      <c r="C20" s="2">
        <f>'Compléter avc fascic acompte ok'!C18</f>
        <v>1720114</v>
      </c>
      <c r="D20" s="2">
        <f>'Compléter avc fascic acompte ok'!D18</f>
        <v>1711269</v>
      </c>
      <c r="E20" s="2">
        <f>'Compléter avc fascic acompte ok'!E18</f>
        <v>1695113</v>
      </c>
      <c r="F20" s="2">
        <f>'Compléter avc fascic acompte ok'!F18</f>
        <v>1681328</v>
      </c>
      <c r="G20" s="2">
        <f>'Compléter avc fascic acompte ok'!G18</f>
        <v>1657008</v>
      </c>
      <c r="H20" s="2">
        <f>'Compléter avc fascic acompte ok'!H18</f>
        <v>1619880</v>
      </c>
      <c r="I20" s="2">
        <f>'Compléter avc fascic acompte ok'!I18</f>
        <v>1585034</v>
      </c>
      <c r="J20" s="2">
        <f>'Compléter avc fascic acompte ok'!J18</f>
        <v>1546551</v>
      </c>
      <c r="K20" s="2">
        <f>'Compléter avc fascic acompte ok'!K18</f>
        <v>1494524</v>
      </c>
      <c r="L20" s="2">
        <f>'Compléter avc fascic acompte ok'!L18</f>
        <v>1455707</v>
      </c>
      <c r="M20" s="2">
        <f>'Compléter avc fascic acompte ok'!M18</f>
        <v>1422009</v>
      </c>
      <c r="N20" s="2">
        <f>'Compléter avc fascic acompte ok'!N18</f>
        <v>1393433</v>
      </c>
      <c r="O20" s="2">
        <f>'Compléter avc fascic acompte ok'!O18</f>
        <v>1361021</v>
      </c>
      <c r="P20" s="2">
        <f>'Compléter avc fascic acompte ok'!P18</f>
        <v>1332265</v>
      </c>
      <c r="Q20" s="2">
        <f>'Compléter avc fascic acompte ok'!Q18</f>
        <v>1297304.0902824686</v>
      </c>
      <c r="R20" s="2">
        <f>'Compléter avc fascic acompte ok'!R18</f>
        <v>1262089</v>
      </c>
      <c r="S20" s="2">
        <f>'Compléter avc fascic acompte ok'!S18</f>
        <v>1222252</v>
      </c>
      <c r="T20" s="2">
        <f>'Compléter avc fascic acompte ok'!T18</f>
        <v>1181655</v>
      </c>
      <c r="U20" s="2">
        <f>'Compléter avc fascic acompte ok'!U18</f>
        <v>1142251</v>
      </c>
      <c r="V20" s="2">
        <f>'Compléter avc fascic acompte ok'!V18</f>
        <v>1105362</v>
      </c>
      <c r="W20" s="2">
        <f>'Compléter avc fascic acompte ok'!W18</f>
        <v>1062308</v>
      </c>
      <c r="X20" s="2">
        <f>'Compléter avc fascic acompte ok'!X18</f>
        <v>1023825</v>
      </c>
      <c r="Y20" s="2">
        <f>'Compléter avc fascic acompte ok'!Y18</f>
        <v>989168</v>
      </c>
      <c r="Z20" s="437">
        <f>X20/B20-1</f>
        <v>-0.4067038853630156</v>
      </c>
      <c r="AA20" s="440">
        <f>Y20/B20-1</f>
        <v>-0.42678726235124498</v>
      </c>
      <c r="AB20" s="437">
        <f>(X20/B20)^(1/21)-1</f>
        <v>-2.4553611875420822E-2</v>
      </c>
      <c r="AC20" s="440">
        <f>(Y20/B20)^(1/22)-1</f>
        <v>-2.49781325267312E-2</v>
      </c>
    </row>
    <row r="21" spans="1:29" x14ac:dyDescent="0.25">
      <c r="A21" s="399" t="s">
        <v>2</v>
      </c>
      <c r="B21" s="2">
        <f>'Compléter avc fascic acompte ok'!B19</f>
        <v>7247214</v>
      </c>
      <c r="C21" s="2">
        <f>'Compléter avc fascic acompte ok'!C19</f>
        <v>7447331</v>
      </c>
      <c r="D21" s="2">
        <f>'Compléter avc fascic acompte ok'!D19</f>
        <v>7640068</v>
      </c>
      <c r="E21" s="2">
        <f>'Compléter avc fascic acompte ok'!E19</f>
        <v>7829478</v>
      </c>
      <c r="F21" s="2">
        <f>'Compléter avc fascic acompte ok'!F19</f>
        <v>7991239</v>
      </c>
      <c r="G21" s="2">
        <f>'Compléter avc fascic acompte ok'!G19</f>
        <v>8182849</v>
      </c>
      <c r="H21" s="2">
        <f>'Compléter avc fascic acompte ok'!H19</f>
        <v>8366315</v>
      </c>
      <c r="I21" s="2">
        <f>'Compléter avc fascic acompte ok'!I19</f>
        <v>8529343</v>
      </c>
      <c r="J21" s="2">
        <f>'Compléter avc fascic acompte ok'!J19</f>
        <v>8707276</v>
      </c>
      <c r="K21" s="2">
        <f>'Compléter avc fascic acompte ok'!K19</f>
        <v>8900883</v>
      </c>
      <c r="L21" s="2">
        <f>'Compléter avc fascic acompte ok'!L19</f>
        <v>9101064</v>
      </c>
      <c r="M21" s="2">
        <f>'Compléter avc fascic acompte ok'!M19</f>
        <v>9364530</v>
      </c>
      <c r="N21" s="2">
        <f>'Compléter avc fascic acompte ok'!N19</f>
        <v>9709081</v>
      </c>
      <c r="O21" s="2">
        <f>'Compléter avc fascic acompte ok'!O19</f>
        <v>10056212</v>
      </c>
      <c r="P21" s="2">
        <f>'Compléter avc fascic acompte ok'!P19</f>
        <v>10421561</v>
      </c>
      <c r="Q21" s="2">
        <f>'Compléter avc fascic acompte ok'!Q19</f>
        <v>10744163.724420674</v>
      </c>
      <c r="R21" s="2">
        <f>'Compléter avc fascic acompte ok'!R19</f>
        <v>11064931</v>
      </c>
      <c r="S21" s="2">
        <f>'Compléter avc fascic acompte ok'!S19</f>
        <v>11288191</v>
      </c>
      <c r="T21" s="2">
        <f>'Compléter avc fascic acompte ok'!T19</f>
        <v>11546822</v>
      </c>
      <c r="U21" s="2">
        <f>'Compléter avc fascic acompte ok'!U19</f>
        <v>11807198</v>
      </c>
      <c r="V21" s="2">
        <f>'Compléter avc fascic acompte ok'!V19</f>
        <v>12044595</v>
      </c>
      <c r="W21" s="2">
        <f>'Compléter avc fascic acompte ok'!W19</f>
        <v>12146584</v>
      </c>
      <c r="X21" s="2">
        <f>'Compléter avc fascic acompte ok'!X19</f>
        <v>12306135</v>
      </c>
      <c r="Y21" s="2">
        <f>'Compléter avc fascic acompte ok'!Y19</f>
        <v>12499703</v>
      </c>
      <c r="Z21" s="437">
        <f>X21/B21-1</f>
        <v>0.69805045083531403</v>
      </c>
      <c r="AA21" s="437">
        <f>Y21/B21-1</f>
        <v>0.72475974905667195</v>
      </c>
      <c r="AB21" s="437">
        <f>(X21/B21)^(1/21)-1</f>
        <v>2.5533916787025213E-2</v>
      </c>
      <c r="AC21" s="437">
        <f>(Y21/B21)^(1/22)-1</f>
        <v>2.5086210219958271E-2</v>
      </c>
    </row>
    <row r="22" spans="1:29" x14ac:dyDescent="0.25">
      <c r="A22" s="420" t="str">
        <f>A14</f>
        <v>SSI</v>
      </c>
      <c r="B22" s="434">
        <f>'Compléter avc fascic acompte ok'!B20</f>
        <v>986939</v>
      </c>
      <c r="C22" s="434">
        <f>'Compléter avc fascic acompte ok'!C20</f>
        <v>1006711</v>
      </c>
      <c r="D22" s="434">
        <f>'Compléter avc fascic acompte ok'!D20</f>
        <v>1018645</v>
      </c>
      <c r="E22" s="434">
        <f>'Compléter avc fascic acompte ok'!E20</f>
        <v>1031909</v>
      </c>
      <c r="F22" s="434">
        <f>'Compléter avc fascic acompte ok'!F20</f>
        <v>1044421</v>
      </c>
      <c r="G22" s="434">
        <f>'Compléter avc fascic acompte ok'!G20</f>
        <v>1064879</v>
      </c>
      <c r="H22" s="434">
        <f>'Compléter avc fascic acompte ok'!H20</f>
        <v>1078320</v>
      </c>
      <c r="I22" s="434">
        <f>'Compléter avc fascic acompte ok'!I20</f>
        <v>1095392</v>
      </c>
      <c r="J22" s="434">
        <f>'Compléter avc fascic acompte ok'!J20</f>
        <v>1114947</v>
      </c>
      <c r="K22" s="434">
        <f>'Compléter avc fascic acompte ok'!K20</f>
        <v>1136601.4932127125</v>
      </c>
      <c r="L22" s="434">
        <f>'Compléter avc fascic acompte ok'!L20</f>
        <v>1159216.5745917019</v>
      </c>
      <c r="M22" s="434">
        <f>'Compléter avc fascic acompte ok'!M20</f>
        <v>1191018</v>
      </c>
      <c r="N22" s="434">
        <f>'Compléter avc fascic acompte ok'!N20</f>
        <v>1235919</v>
      </c>
      <c r="O22" s="434">
        <f>'Compléter avc fascic acompte ok'!O20</f>
        <v>1277827</v>
      </c>
      <c r="P22" s="434">
        <f>'Compléter avc fascic acompte ok'!P20</f>
        <v>1322630</v>
      </c>
      <c r="Q22" s="434">
        <f>'Compléter avc fascic acompte ok'!Q20</f>
        <v>1367815.095094641</v>
      </c>
      <c r="R22" s="434">
        <f>'Compléter avc fascic acompte ok'!R20</f>
        <v>1411663</v>
      </c>
      <c r="S22" s="434">
        <f>'Compléter avc fascic acompte ok'!S20</f>
        <v>1446443</v>
      </c>
      <c r="T22" s="434">
        <f>'Compléter avc fascic acompte ok'!T20</f>
        <v>1414336</v>
      </c>
      <c r="U22" s="434">
        <f>'Compléter avc fascic acompte ok'!U20</f>
        <v>1449731</v>
      </c>
      <c r="V22" s="434">
        <f>'Compléter avc fascic acompte ok'!V20</f>
        <v>1476579</v>
      </c>
      <c r="W22" s="434">
        <f>'Compléter avc fascic acompte ok'!W20</f>
        <v>1485246</v>
      </c>
      <c r="X22" s="434">
        <f>'Compléter avc fascic acompte ok'!X20</f>
        <v>1415678</v>
      </c>
      <c r="Y22" s="434">
        <f>'Compléter avc fascic acompte ok'!Y20</f>
        <v>1375526</v>
      </c>
    </row>
    <row r="23" spans="1:29" s="67" customFormat="1" ht="13" x14ac:dyDescent="0.25">
      <c r="A23" s="421" t="s">
        <v>36</v>
      </c>
      <c r="B23" s="403">
        <f t="shared" ref="B23:R23" si="41">B24-SUM(B19:B22)</f>
        <v>1773339</v>
      </c>
      <c r="C23" s="403">
        <f t="shared" si="41"/>
        <v>1810414</v>
      </c>
      <c r="D23" s="403">
        <f t="shared" si="41"/>
        <v>1869406</v>
      </c>
      <c r="E23" s="403">
        <f t="shared" si="41"/>
        <v>1909355</v>
      </c>
      <c r="F23" s="403">
        <f t="shared" si="41"/>
        <v>1948289</v>
      </c>
      <c r="G23" s="403">
        <f t="shared" si="41"/>
        <v>1990913</v>
      </c>
      <c r="H23" s="403">
        <f t="shared" si="41"/>
        <v>1946352</v>
      </c>
      <c r="I23" s="403">
        <f t="shared" si="41"/>
        <v>1982363</v>
      </c>
      <c r="J23" s="403">
        <f t="shared" si="41"/>
        <v>2034034</v>
      </c>
      <c r="K23" s="403">
        <f t="shared" si="41"/>
        <v>2096013</v>
      </c>
      <c r="L23" s="403">
        <f t="shared" si="41"/>
        <v>2142488.731098609</v>
      </c>
      <c r="M23" s="403">
        <f t="shared" si="41"/>
        <v>2222068.6566136274</v>
      </c>
      <c r="N23" s="403">
        <f t="shared" si="41"/>
        <v>2335122.3894585688</v>
      </c>
      <c r="O23" s="403">
        <f t="shared" si="41"/>
        <v>2450886</v>
      </c>
      <c r="P23" s="403">
        <f t="shared" si="41"/>
        <v>2565222.544507239</v>
      </c>
      <c r="Q23" s="403">
        <f t="shared" si="41"/>
        <v>2683452.3707745876</v>
      </c>
      <c r="R23" s="403">
        <f t="shared" si="41"/>
        <v>2788904</v>
      </c>
      <c r="S23" s="403">
        <f t="shared" ref="S23:T23" si="42">S24-SUM(S19:S22)</f>
        <v>2885308</v>
      </c>
      <c r="T23" s="403">
        <f t="shared" si="42"/>
        <v>2984763</v>
      </c>
      <c r="U23" s="403">
        <f t="shared" ref="U23:V23" si="43">U24-SUM(U19:U22)</f>
        <v>3091941</v>
      </c>
      <c r="V23" s="403">
        <f t="shared" si="43"/>
        <v>3197498</v>
      </c>
      <c r="W23" s="403">
        <f t="shared" ref="W23:Y23" si="44">W24-SUM(W19:W22)</f>
        <v>3318410</v>
      </c>
      <c r="X23" s="403">
        <f t="shared" si="44"/>
        <v>3422261</v>
      </c>
      <c r="Y23" s="403">
        <f t="shared" si="44"/>
        <v>3519820</v>
      </c>
      <c r="AB23"/>
      <c r="AC23" s="443" t="s">
        <v>135</v>
      </c>
    </row>
    <row r="24" spans="1:29" x14ac:dyDescent="0.25">
      <c r="A24" s="422" t="s">
        <v>37</v>
      </c>
      <c r="B24" s="423">
        <v>13230791</v>
      </c>
      <c r="C24" s="423">
        <v>13505879</v>
      </c>
      <c r="D24" s="423">
        <v>13777508</v>
      </c>
      <c r="E24" s="423">
        <v>14021421</v>
      </c>
      <c r="F24" s="423">
        <v>14225897</v>
      </c>
      <c r="G24" s="423">
        <v>14464572</v>
      </c>
      <c r="H24" s="423">
        <v>14573530</v>
      </c>
      <c r="I24" s="423">
        <v>14749454</v>
      </c>
      <c r="J24" s="423">
        <v>14953239</v>
      </c>
      <c r="K24" s="423">
        <v>15174200.493212713</v>
      </c>
      <c r="L24" s="423">
        <v>15391086.305690311</v>
      </c>
      <c r="M24" s="423">
        <v>15748907.656613627</v>
      </c>
      <c r="N24" s="423">
        <v>16235388.389458569</v>
      </c>
      <c r="O24" s="423">
        <v>16724879</v>
      </c>
      <c r="P24" s="423">
        <v>17247719.544507239</v>
      </c>
      <c r="Q24" s="423">
        <v>17719873.382454921</v>
      </c>
      <c r="R24" s="423">
        <v>18178223</v>
      </c>
      <c r="S24" s="423">
        <v>18507566</v>
      </c>
      <c r="T24" s="423">
        <v>18813502</v>
      </c>
      <c r="U24" s="423">
        <v>19192842</v>
      </c>
      <c r="V24" s="423">
        <v>19534320</v>
      </c>
      <c r="W24" s="423">
        <v>19692499</v>
      </c>
      <c r="X24" s="423">
        <v>19823797</v>
      </c>
      <c r="Y24" s="423">
        <v>20005733</v>
      </c>
      <c r="AB24" s="441" t="s">
        <v>0</v>
      </c>
      <c r="AC24" s="442">
        <f>Y19/X19-1</f>
        <v>-2.076335619706049E-2</v>
      </c>
    </row>
    <row r="25" spans="1:29" s="67" customFormat="1" x14ac:dyDescent="0.25">
      <c r="A25" s="65" t="s">
        <v>40</v>
      </c>
      <c r="B25" s="68">
        <f t="shared" ref="B25:R25" si="45">SUM(B19:B20)/B24</f>
        <v>0.24362103520492465</v>
      </c>
      <c r="C25" s="68">
        <f t="shared" si="45"/>
        <v>0.24000089146363596</v>
      </c>
      <c r="D25" s="68">
        <f t="shared" si="45"/>
        <v>0.23584736804362588</v>
      </c>
      <c r="E25" s="68">
        <f t="shared" si="45"/>
        <v>0.23183663053837411</v>
      </c>
      <c r="F25" s="68">
        <f t="shared" si="45"/>
        <v>0.22789058573951435</v>
      </c>
      <c r="G25" s="68">
        <f t="shared" si="45"/>
        <v>0.2230229141933823</v>
      </c>
      <c r="H25" s="68">
        <f t="shared" si="45"/>
        <v>0.21837832014618283</v>
      </c>
      <c r="I25" s="68">
        <f t="shared" si="45"/>
        <v>0.21304897116869548</v>
      </c>
      <c r="J25" s="78">
        <f t="shared" si="45"/>
        <v>0.20711111485611913</v>
      </c>
      <c r="K25" s="68">
        <f t="shared" si="45"/>
        <v>0.20038637299936032</v>
      </c>
      <c r="L25" s="68">
        <f t="shared" si="45"/>
        <v>0.19415893983358246</v>
      </c>
      <c r="M25" s="78">
        <f t="shared" si="45"/>
        <v>0.18866648181483434</v>
      </c>
      <c r="N25" s="78">
        <f t="shared" si="45"/>
        <v>0.18202619667040529</v>
      </c>
      <c r="O25" s="78">
        <f t="shared" si="45"/>
        <v>0.17578327472503688</v>
      </c>
      <c r="P25" s="78">
        <f t="shared" si="45"/>
        <v>0.17035910123757445</v>
      </c>
      <c r="Q25" s="78">
        <f t="shared" si="45"/>
        <v>0.16503742036106256</v>
      </c>
      <c r="R25" s="78">
        <f t="shared" si="45"/>
        <v>0.16023155838719769</v>
      </c>
      <c r="S25" s="78">
        <f t="shared" ref="S25:T25" si="46">SUM(S19:S20)/S24</f>
        <v>0.15602397419520211</v>
      </c>
      <c r="T25" s="78">
        <f t="shared" si="46"/>
        <v>0.1524214364768452</v>
      </c>
      <c r="U25" s="78">
        <f t="shared" ref="U25:V25" si="47">SUM(U19:U20)/U24</f>
        <v>0.14817878456978908</v>
      </c>
      <c r="V25" s="78">
        <f t="shared" si="47"/>
        <v>0.14413852133066316</v>
      </c>
      <c r="W25" s="78">
        <f t="shared" ref="W25:X25" si="48">SUM(W19:W20)/W24</f>
        <v>0.1392539870130246</v>
      </c>
      <c r="X25" s="78">
        <f t="shared" si="48"/>
        <v>0.13517708035448506</v>
      </c>
      <c r="Y25" s="78">
        <f t="shared" ref="Y25" si="49">SUM(Y19:Y20)/Y24</f>
        <v>0.13049679309425952</v>
      </c>
      <c r="Z25"/>
      <c r="AA25"/>
      <c r="AB25" s="441" t="s">
        <v>1</v>
      </c>
      <c r="AC25" s="442">
        <f>Y20/X20-1</f>
        <v>-3.3850511562034558E-2</v>
      </c>
    </row>
    <row r="26" spans="1:29" x14ac:dyDescent="0.25">
      <c r="A26" s="444" t="s">
        <v>104</v>
      </c>
      <c r="B26" s="2">
        <f t="shared" ref="B26:S26" si="50">B19+B20</f>
        <v>3223299</v>
      </c>
      <c r="C26" s="2">
        <f t="shared" si="50"/>
        <v>3241423</v>
      </c>
      <c r="D26" s="2">
        <f t="shared" si="50"/>
        <v>3249389</v>
      </c>
      <c r="E26" s="2">
        <f t="shared" si="50"/>
        <v>3250679</v>
      </c>
      <c r="F26" s="2">
        <f t="shared" si="50"/>
        <v>3241948</v>
      </c>
      <c r="G26" s="2">
        <f t="shared" si="50"/>
        <v>3225931</v>
      </c>
      <c r="H26" s="2">
        <f t="shared" si="50"/>
        <v>3182543</v>
      </c>
      <c r="I26" s="2">
        <f t="shared" si="50"/>
        <v>3142356</v>
      </c>
      <c r="J26" s="2">
        <f t="shared" si="50"/>
        <v>3096982</v>
      </c>
      <c r="K26" s="2">
        <f t="shared" si="50"/>
        <v>3040703</v>
      </c>
      <c r="L26" s="2">
        <f t="shared" si="50"/>
        <v>2988317</v>
      </c>
      <c r="M26" s="2">
        <f t="shared" si="50"/>
        <v>2971291</v>
      </c>
      <c r="N26" s="2">
        <f t="shared" si="50"/>
        <v>2955266</v>
      </c>
      <c r="O26" s="2">
        <f t="shared" si="50"/>
        <v>2939954</v>
      </c>
      <c r="P26" s="2">
        <f t="shared" si="50"/>
        <v>2938306</v>
      </c>
      <c r="Q26" s="2">
        <f t="shared" si="50"/>
        <v>2924442.1921650162</v>
      </c>
      <c r="R26" s="2">
        <f t="shared" si="50"/>
        <v>2912725</v>
      </c>
      <c r="S26" s="2">
        <f t="shared" si="50"/>
        <v>2887624</v>
      </c>
      <c r="T26" s="2">
        <f t="shared" ref="T26:Y26" si="51">T19+T20</f>
        <v>2867581</v>
      </c>
      <c r="U26" s="2">
        <f t="shared" si="51"/>
        <v>2843972</v>
      </c>
      <c r="V26" s="2">
        <f t="shared" si="51"/>
        <v>2815648</v>
      </c>
      <c r="W26" s="2">
        <f t="shared" si="51"/>
        <v>2742259</v>
      </c>
      <c r="X26" s="2">
        <f t="shared" si="51"/>
        <v>2679723</v>
      </c>
      <c r="Y26" s="2">
        <f t="shared" si="51"/>
        <v>2610684</v>
      </c>
      <c r="AB26" s="441" t="s">
        <v>105</v>
      </c>
      <c r="AC26" s="442">
        <f>Y26/X26-1</f>
        <v>-2.5763483763060591E-2</v>
      </c>
    </row>
    <row r="27" spans="1:29" ht="13" x14ac:dyDescent="0.3">
      <c r="A27" s="3" t="s">
        <v>4</v>
      </c>
      <c r="B27" s="399">
        <v>2000</v>
      </c>
      <c r="C27" s="399">
        <f t="shared" ref="C27:J27" si="52">+B27+1</f>
        <v>2001</v>
      </c>
      <c r="D27" s="399">
        <f t="shared" si="52"/>
        <v>2002</v>
      </c>
      <c r="E27" s="399">
        <f t="shared" si="52"/>
        <v>2003</v>
      </c>
      <c r="F27" s="399">
        <f t="shared" si="52"/>
        <v>2004</v>
      </c>
      <c r="G27" s="399">
        <f t="shared" si="52"/>
        <v>2005</v>
      </c>
      <c r="H27" s="399">
        <f t="shared" si="52"/>
        <v>2006</v>
      </c>
      <c r="I27" s="399">
        <f t="shared" si="52"/>
        <v>2007</v>
      </c>
      <c r="J27" s="399">
        <f t="shared" si="52"/>
        <v>2008</v>
      </c>
      <c r="K27" s="399">
        <f t="shared" ref="K27:R27" si="53">+J27+1</f>
        <v>2009</v>
      </c>
      <c r="L27" s="399">
        <f t="shared" si="53"/>
        <v>2010</v>
      </c>
      <c r="M27" s="399">
        <f t="shared" si="53"/>
        <v>2011</v>
      </c>
      <c r="N27" s="399">
        <f t="shared" si="53"/>
        <v>2012</v>
      </c>
      <c r="O27" s="399">
        <f t="shared" si="53"/>
        <v>2013</v>
      </c>
      <c r="P27" s="399">
        <f t="shared" si="53"/>
        <v>2014</v>
      </c>
      <c r="Q27" s="399">
        <f t="shared" si="53"/>
        <v>2015</v>
      </c>
      <c r="R27" s="399">
        <f t="shared" si="53"/>
        <v>2016</v>
      </c>
      <c r="S27" s="399">
        <f t="shared" ref="S27" si="54">+R27+1</f>
        <v>2017</v>
      </c>
      <c r="T27" s="399">
        <f t="shared" ref="T27:U27" si="55">+S27+1</f>
        <v>2018</v>
      </c>
      <c r="U27" s="399">
        <f t="shared" si="55"/>
        <v>2019</v>
      </c>
      <c r="V27" s="399">
        <v>2020</v>
      </c>
      <c r="W27" s="399">
        <v>2021</v>
      </c>
      <c r="X27" s="399">
        <v>2022</v>
      </c>
      <c r="Y27" s="399">
        <v>2023</v>
      </c>
    </row>
    <row r="28" spans="1:29" x14ac:dyDescent="0.25">
      <c r="A28" s="399" t="s">
        <v>0</v>
      </c>
      <c r="B28" s="72">
        <f t="shared" ref="B28:R28" si="56">B19/B$24</f>
        <v>0.11319376143119485</v>
      </c>
      <c r="C28" s="72">
        <f t="shared" si="56"/>
        <v>0.11264050270256383</v>
      </c>
      <c r="D28" s="72">
        <f t="shared" si="56"/>
        <v>0.11163992791729825</v>
      </c>
      <c r="E28" s="72">
        <f t="shared" si="56"/>
        <v>0.11094210779349682</v>
      </c>
      <c r="F28" s="72">
        <f t="shared" si="56"/>
        <v>0.10970274844531772</v>
      </c>
      <c r="G28" s="72">
        <f t="shared" si="56"/>
        <v>0.10846660378198539</v>
      </c>
      <c r="H28" s="72">
        <f t="shared" si="56"/>
        <v>0.10722611474364824</v>
      </c>
      <c r="I28" s="72">
        <f t="shared" si="56"/>
        <v>0.10558506097920642</v>
      </c>
      <c r="J28" s="72">
        <f t="shared" si="56"/>
        <v>0.10368529520594166</v>
      </c>
      <c r="K28" s="72">
        <f t="shared" si="56"/>
        <v>0.10189525311014523</v>
      </c>
      <c r="L28" s="72">
        <f t="shared" si="56"/>
        <v>9.957776660854481E-2</v>
      </c>
      <c r="M28" s="72">
        <f t="shared" si="56"/>
        <v>9.8373933848636894E-2</v>
      </c>
      <c r="N28" s="72">
        <f t="shared" si="56"/>
        <v>9.6199300105076532E-2</v>
      </c>
      <c r="O28" s="72">
        <f t="shared" si="56"/>
        <v>9.4406243536948764E-2</v>
      </c>
      <c r="P28" s="72">
        <f t="shared" si="56"/>
        <v>9.3116136069795075E-2</v>
      </c>
      <c r="Q28" s="72">
        <f t="shared" si="56"/>
        <v>9.1825605452329886E-2</v>
      </c>
      <c r="R28" s="72">
        <f t="shared" si="56"/>
        <v>9.0802934918336076E-2</v>
      </c>
      <c r="S28" s="72">
        <f t="shared" ref="S28" si="57">S19/S$24</f>
        <v>8.9983307367376128E-2</v>
      </c>
      <c r="T28" s="72">
        <f t="shared" ref="T28:Y28" si="58">T19/T$24</f>
        <v>8.9612555918616318E-2</v>
      </c>
      <c r="U28" s="72">
        <f t="shared" si="58"/>
        <v>8.8664357264025828E-2</v>
      </c>
      <c r="V28" s="72">
        <f t="shared" si="58"/>
        <v>8.7552881287907641E-2</v>
      </c>
      <c r="W28" s="72">
        <f t="shared" si="58"/>
        <v>8.5309182953367174E-2</v>
      </c>
      <c r="X28" s="72">
        <f t="shared" si="58"/>
        <v>8.3530819045412943E-2</v>
      </c>
      <c r="Y28" s="72">
        <f t="shared" si="58"/>
        <v>8.1052566281875307E-2</v>
      </c>
    </row>
    <row r="29" spans="1:29" x14ac:dyDescent="0.25">
      <c r="A29" s="399" t="s">
        <v>1</v>
      </c>
      <c r="B29" s="72">
        <f t="shared" ref="B29:R29" si="59">B20/B$24</f>
        <v>0.13042727377372978</v>
      </c>
      <c r="C29" s="72">
        <f t="shared" si="59"/>
        <v>0.12736038876107211</v>
      </c>
      <c r="D29" s="72">
        <f t="shared" si="59"/>
        <v>0.12420744012632763</v>
      </c>
      <c r="E29" s="72">
        <f t="shared" si="59"/>
        <v>0.12089452274487729</v>
      </c>
      <c r="F29" s="72">
        <f t="shared" si="59"/>
        <v>0.11818783729419663</v>
      </c>
      <c r="G29" s="72">
        <f t="shared" si="59"/>
        <v>0.1145563104113969</v>
      </c>
      <c r="H29" s="72">
        <f t="shared" si="59"/>
        <v>0.11115220540253459</v>
      </c>
      <c r="I29" s="72">
        <f t="shared" si="59"/>
        <v>0.10746391018948905</v>
      </c>
      <c r="J29" s="72">
        <f t="shared" si="59"/>
        <v>0.10342581965017747</v>
      </c>
      <c r="K29" s="72">
        <f t="shared" si="59"/>
        <v>9.8491119889215092E-2</v>
      </c>
      <c r="L29" s="72">
        <f t="shared" si="59"/>
        <v>9.4581173225037646E-2</v>
      </c>
      <c r="M29" s="72">
        <f t="shared" si="59"/>
        <v>9.0292547966197428E-2</v>
      </c>
      <c r="N29" s="72">
        <f t="shared" si="59"/>
        <v>8.5826896565328756E-2</v>
      </c>
      <c r="O29" s="72">
        <f t="shared" si="59"/>
        <v>8.1377031188088117E-2</v>
      </c>
      <c r="P29" s="72">
        <f t="shared" si="59"/>
        <v>7.7242965167779357E-2</v>
      </c>
      <c r="Q29" s="72">
        <f t="shared" si="59"/>
        <v>7.3211814908732686E-2</v>
      </c>
      <c r="R29" s="72">
        <f t="shared" si="59"/>
        <v>6.9428623468861611E-2</v>
      </c>
      <c r="S29" s="72">
        <f t="shared" ref="S29:T29" si="60">S20/S$24</f>
        <v>6.6040666827825986E-2</v>
      </c>
      <c r="T29" s="72">
        <f t="shared" si="60"/>
        <v>6.2808880558228877E-2</v>
      </c>
      <c r="U29" s="72">
        <f>U20/U$24</f>
        <v>5.9514427305763264E-2</v>
      </c>
      <c r="V29" s="72">
        <f>V20/V$24</f>
        <v>5.6585640042755521E-2</v>
      </c>
      <c r="W29" s="72">
        <f>W20/W$24</f>
        <v>5.3944804059657438E-2</v>
      </c>
      <c r="X29" s="72">
        <f>X20/X$24</f>
        <v>5.1646261309072121E-2</v>
      </c>
      <c r="Y29" s="72">
        <f>Y20/Y$24</f>
        <v>4.944422681238423E-2</v>
      </c>
    </row>
    <row r="30" spans="1:29" x14ac:dyDescent="0.25">
      <c r="A30" s="399" t="s">
        <v>2</v>
      </c>
      <c r="B30" s="72">
        <f t="shared" ref="B30:R30" si="61">B21/B$24</f>
        <v>0.54775364526580461</v>
      </c>
      <c r="C30" s="72">
        <f t="shared" si="61"/>
        <v>0.55141401755487374</v>
      </c>
      <c r="D30" s="72">
        <f t="shared" si="61"/>
        <v>0.55453192260893625</v>
      </c>
      <c r="E30" s="72">
        <f t="shared" si="61"/>
        <v>0.55839404579607155</v>
      </c>
      <c r="F30" s="72">
        <f t="shared" si="61"/>
        <v>0.56173884852392786</v>
      </c>
      <c r="G30" s="72">
        <f t="shared" si="61"/>
        <v>0.56571663509988401</v>
      </c>
      <c r="H30" s="72">
        <f t="shared" si="61"/>
        <v>0.57407608177291292</v>
      </c>
      <c r="I30" s="72">
        <f t="shared" si="61"/>
        <v>0.57828194860636872</v>
      </c>
      <c r="J30" s="72">
        <f t="shared" si="61"/>
        <v>0.58230032971451873</v>
      </c>
      <c r="K30" s="72">
        <f t="shared" si="61"/>
        <v>0.58658003128278735</v>
      </c>
      <c r="L30" s="72">
        <f t="shared" si="61"/>
        <v>0.5913204447846675</v>
      </c>
      <c r="M30" s="72">
        <f t="shared" si="61"/>
        <v>0.59461457290769248</v>
      </c>
      <c r="N30" s="72">
        <f t="shared" si="61"/>
        <v>0.59801963261340785</v>
      </c>
      <c r="O30" s="72">
        <f t="shared" si="61"/>
        <v>0.60127263103069384</v>
      </c>
      <c r="P30" s="72">
        <f t="shared" si="61"/>
        <v>0.60422834294745253</v>
      </c>
      <c r="Q30" s="72">
        <f t="shared" si="61"/>
        <v>0.60633411382379598</v>
      </c>
      <c r="R30" s="72">
        <f t="shared" si="61"/>
        <v>0.6086915646265314</v>
      </c>
      <c r="S30" s="72">
        <f t="shared" ref="S30:T30" si="62">S21/S$24</f>
        <v>0.60992304444571477</v>
      </c>
      <c r="T30" s="72">
        <f t="shared" si="62"/>
        <v>0.61375186820614258</v>
      </c>
      <c r="U30" s="72">
        <f t="shared" ref="U30:V30" si="63">U21/U$24</f>
        <v>0.61518757878588282</v>
      </c>
      <c r="V30" s="72">
        <f t="shared" si="63"/>
        <v>0.61658634649171307</v>
      </c>
      <c r="W30" s="72">
        <f t="shared" ref="W30:X30" si="64">W21/W$24</f>
        <v>0.61681272651073893</v>
      </c>
      <c r="X30" s="72">
        <f t="shared" si="64"/>
        <v>0.62077587860690864</v>
      </c>
      <c r="Y30" s="72">
        <f t="shared" ref="Y30" si="65">Y21/Y$24</f>
        <v>0.62480604934595496</v>
      </c>
    </row>
    <row r="31" spans="1:29" x14ac:dyDescent="0.25">
      <c r="A31" s="420" t="str">
        <f>A22</f>
        <v>SSI</v>
      </c>
      <c r="B31" s="428">
        <f t="shared" ref="B31:R31" si="66">B22/B$24</f>
        <v>7.4594104010863749E-2</v>
      </c>
      <c r="C31" s="428">
        <f t="shared" si="66"/>
        <v>7.4538724950815857E-2</v>
      </c>
      <c r="D31" s="428">
        <f t="shared" si="66"/>
        <v>7.3935358992351888E-2</v>
      </c>
      <c r="E31" s="428">
        <f t="shared" si="66"/>
        <v>7.3595179832343663E-2</v>
      </c>
      <c r="F31" s="428">
        <f t="shared" si="66"/>
        <v>7.3416881902069159E-2</v>
      </c>
      <c r="G31" s="428">
        <f t="shared" si="66"/>
        <v>7.3619807070682775E-2</v>
      </c>
      <c r="H31" s="428">
        <f t="shared" si="66"/>
        <v>7.3991682179952278E-2</v>
      </c>
      <c r="I31" s="428">
        <f t="shared" si="66"/>
        <v>7.4266613530236447E-2</v>
      </c>
      <c r="J31" s="428">
        <f t="shared" si="66"/>
        <v>7.4562240327998505E-2</v>
      </c>
      <c r="K31" s="428">
        <f t="shared" si="66"/>
        <v>7.4903550517940259E-2</v>
      </c>
      <c r="L31" s="428">
        <f t="shared" si="66"/>
        <v>7.5317398107443687E-2</v>
      </c>
      <c r="M31" s="428">
        <f t="shared" si="66"/>
        <v>7.5625435488526821E-2</v>
      </c>
      <c r="N31" s="428">
        <f t="shared" si="66"/>
        <v>7.6125003624949714E-2</v>
      </c>
      <c r="O31" s="428">
        <f t="shared" si="66"/>
        <v>7.6402765006551021E-2</v>
      </c>
      <c r="P31" s="428">
        <f t="shared" si="66"/>
        <v>7.6684340592794997E-2</v>
      </c>
      <c r="Q31" s="428">
        <f t="shared" si="66"/>
        <v>7.7191019685781931E-2</v>
      </c>
      <c r="R31" s="428">
        <f t="shared" si="66"/>
        <v>7.765682047139591E-2</v>
      </c>
      <c r="S31" s="428">
        <f t="shared" ref="S31:T31" si="67">S22/S$24</f>
        <v>7.8154145175005726E-2</v>
      </c>
      <c r="T31" s="428">
        <f t="shared" si="67"/>
        <v>7.5176647069748095E-2</v>
      </c>
      <c r="U31" s="428">
        <f t="shared" ref="U31:V31" si="68">U22/U$24</f>
        <v>7.5534983302629172E-2</v>
      </c>
      <c r="V31" s="428">
        <f t="shared" si="68"/>
        <v>7.5588963424373101E-2</v>
      </c>
      <c r="W31" s="428">
        <f t="shared" ref="W31:X31" si="69">W22/W$24</f>
        <v>7.5421915725373406E-2</v>
      </c>
      <c r="X31" s="428">
        <f t="shared" si="69"/>
        <v>7.1413059768519624E-2</v>
      </c>
      <c r="Y31" s="428">
        <f t="shared" ref="Y31" si="70">Y22/Y$24</f>
        <v>6.875659092321186E-2</v>
      </c>
    </row>
    <row r="32" spans="1:29" x14ac:dyDescent="0.25">
      <c r="A32" s="421" t="s">
        <v>36</v>
      </c>
      <c r="B32" s="431">
        <f>100%-B33</f>
        <v>0.13403121551840702</v>
      </c>
      <c r="C32" s="431">
        <f t="shared" ref="C32:L32" si="71">100%-C33</f>
        <v>0.13404636603067455</v>
      </c>
      <c r="D32" s="431">
        <f t="shared" si="71"/>
        <v>0.13568535035508589</v>
      </c>
      <c r="E32" s="431">
        <f t="shared" si="71"/>
        <v>0.13617414383321069</v>
      </c>
      <c r="F32" s="431">
        <f t="shared" si="71"/>
        <v>0.13695368383448858</v>
      </c>
      <c r="G32" s="431">
        <f t="shared" si="71"/>
        <v>0.13764064363605089</v>
      </c>
      <c r="H32" s="431">
        <f t="shared" si="71"/>
        <v>0.133553915900952</v>
      </c>
      <c r="I32" s="431">
        <f t="shared" si="71"/>
        <v>0.13440246669469935</v>
      </c>
      <c r="J32" s="431">
        <f>100%-J33</f>
        <v>0.13602631510136365</v>
      </c>
      <c r="K32" s="431">
        <f t="shared" si="71"/>
        <v>0.13813004519991201</v>
      </c>
      <c r="L32" s="431">
        <f t="shared" si="71"/>
        <v>0.1392032172743064</v>
      </c>
      <c r="M32" s="431">
        <f t="shared" ref="M32:Y32" si="72">100%-M33</f>
        <v>0.1410935097889463</v>
      </c>
      <c r="N32" s="431">
        <f t="shared" si="72"/>
        <v>0.14382916709123716</v>
      </c>
      <c r="O32" s="431">
        <f t="shared" si="72"/>
        <v>0.14654132923771823</v>
      </c>
      <c r="P32" s="431">
        <f t="shared" si="72"/>
        <v>0.14872821522217805</v>
      </c>
      <c r="Q32" s="431">
        <f t="shared" si="72"/>
        <v>0.1514374461293595</v>
      </c>
      <c r="R32" s="431">
        <f t="shared" si="72"/>
        <v>0.153420056514875</v>
      </c>
      <c r="S32" s="431">
        <f t="shared" si="72"/>
        <v>0.15589883618407741</v>
      </c>
      <c r="T32" s="431">
        <f t="shared" si="72"/>
        <v>0.15865004824726414</v>
      </c>
      <c r="U32" s="431">
        <f t="shared" si="72"/>
        <v>0.16109865334169893</v>
      </c>
      <c r="V32" s="431">
        <f t="shared" si="72"/>
        <v>0.1636861687532507</v>
      </c>
      <c r="W32" s="431">
        <f t="shared" si="72"/>
        <v>0.16851137075086309</v>
      </c>
      <c r="X32" s="431">
        <f t="shared" si="72"/>
        <v>0.17263398127008667</v>
      </c>
      <c r="Y32" s="431">
        <f t="shared" si="72"/>
        <v>0.17594056663657365</v>
      </c>
    </row>
    <row r="33" spans="1:25" x14ac:dyDescent="0.25">
      <c r="A33" s="432"/>
      <c r="B33" s="433">
        <f t="shared" ref="B33:R33" si="73">SUM(B28:B31)</f>
        <v>0.86596878448159298</v>
      </c>
      <c r="C33" s="433">
        <f t="shared" si="73"/>
        <v>0.86595363396932545</v>
      </c>
      <c r="D33" s="433">
        <f t="shared" si="73"/>
        <v>0.86431464964491411</v>
      </c>
      <c r="E33" s="433">
        <f t="shared" si="73"/>
        <v>0.86382585616678931</v>
      </c>
      <c r="F33" s="433">
        <f t="shared" si="73"/>
        <v>0.86304631616551142</v>
      </c>
      <c r="G33" s="433">
        <f t="shared" si="73"/>
        <v>0.86235935636394911</v>
      </c>
      <c r="H33" s="433">
        <f t="shared" si="73"/>
        <v>0.866446084099048</v>
      </c>
      <c r="I33" s="433">
        <f t="shared" si="73"/>
        <v>0.86559753330530065</v>
      </c>
      <c r="J33" s="433">
        <f t="shared" si="73"/>
        <v>0.86397368489863635</v>
      </c>
      <c r="K33" s="433">
        <f t="shared" si="73"/>
        <v>0.86186995480008799</v>
      </c>
      <c r="L33" s="433">
        <f t="shared" si="73"/>
        <v>0.8607967827256936</v>
      </c>
      <c r="M33" s="433">
        <f t="shared" si="73"/>
        <v>0.8589064902110537</v>
      </c>
      <c r="N33" s="433">
        <f t="shared" si="73"/>
        <v>0.85617083290876284</v>
      </c>
      <c r="O33" s="433">
        <f t="shared" si="73"/>
        <v>0.85345867076228177</v>
      </c>
      <c r="P33" s="433">
        <f t="shared" si="73"/>
        <v>0.85127178477782195</v>
      </c>
      <c r="Q33" s="433">
        <f t="shared" si="73"/>
        <v>0.8485625538706405</v>
      </c>
      <c r="R33" s="433">
        <f t="shared" si="73"/>
        <v>0.846579943485125</v>
      </c>
      <c r="S33" s="433">
        <f t="shared" ref="S33:T33" si="74">SUM(S28:S31)</f>
        <v>0.84410116381592259</v>
      </c>
      <c r="T33" s="433">
        <f t="shared" si="74"/>
        <v>0.84134995175273586</v>
      </c>
      <c r="U33" s="433">
        <f t="shared" ref="U33:V33" si="75">SUM(U28:U31)</f>
        <v>0.83890134665830107</v>
      </c>
      <c r="V33" s="433">
        <f t="shared" si="75"/>
        <v>0.8363138312467493</v>
      </c>
      <c r="W33" s="433">
        <f t="shared" ref="W33:X33" si="76">SUM(W28:W31)</f>
        <v>0.83148862924913691</v>
      </c>
      <c r="X33" s="433">
        <f t="shared" si="76"/>
        <v>0.82736601872991333</v>
      </c>
      <c r="Y33" s="433">
        <f t="shared" ref="Y33" si="77">SUM(Y28:Y31)</f>
        <v>0.82405943336342635</v>
      </c>
    </row>
    <row r="34" spans="1:25" s="67" customFormat="1" x14ac:dyDescent="0.25">
      <c r="A34" s="65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25" s="67" customFormat="1" x14ac:dyDescent="0.25">
      <c r="A35" s="65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1:25" ht="13" x14ac:dyDescent="0.3">
      <c r="A36" s="3" t="s">
        <v>5</v>
      </c>
      <c r="B36" s="399">
        <v>2000</v>
      </c>
      <c r="C36" s="399">
        <v>2001</v>
      </c>
      <c r="D36" s="399">
        <v>2002</v>
      </c>
      <c r="E36" s="399">
        <v>2003</v>
      </c>
      <c r="F36" s="399">
        <v>2004</v>
      </c>
      <c r="G36" s="399">
        <v>2005</v>
      </c>
      <c r="H36" s="399">
        <v>2006</v>
      </c>
      <c r="I36" s="399">
        <v>2007</v>
      </c>
      <c r="J36" s="399">
        <v>2008</v>
      </c>
      <c r="K36" s="399">
        <v>2009</v>
      </c>
      <c r="L36" s="399">
        <v>2010</v>
      </c>
      <c r="M36" s="399">
        <v>2011</v>
      </c>
      <c r="N36" s="399">
        <v>2012</v>
      </c>
      <c r="O36" s="399">
        <v>2013</v>
      </c>
      <c r="P36" s="399">
        <v>2014</v>
      </c>
      <c r="Q36" s="399">
        <v>2015</v>
      </c>
      <c r="R36" s="399">
        <v>2016</v>
      </c>
      <c r="S36" s="399">
        <v>2017</v>
      </c>
      <c r="T36" s="399">
        <v>2018</v>
      </c>
      <c r="U36" s="399">
        <v>2019</v>
      </c>
      <c r="V36" s="399">
        <v>2020</v>
      </c>
      <c r="W36" s="399">
        <v>2021</v>
      </c>
      <c r="X36" s="399">
        <v>2022</v>
      </c>
      <c r="Y36" s="399">
        <v>2023</v>
      </c>
    </row>
    <row r="37" spans="1:25" x14ac:dyDescent="0.25">
      <c r="A37" s="399" t="s">
        <v>70</v>
      </c>
      <c r="B37" s="74">
        <f>'Compléter avc fascic acompte ok'!B33</f>
        <v>0.4701772282900924</v>
      </c>
      <c r="C37" s="74">
        <f>'Compléter avc fascic acompte ok'!C33</f>
        <v>0.47127958014886762</v>
      </c>
      <c r="D37" s="74">
        <f>'Compléter avc fascic acompte ok'!D33</f>
        <v>0.4629600981030379</v>
      </c>
      <c r="E37" s="74">
        <f>'Compléter avc fascic acompte ok'!E33</f>
        <v>0.39912877073753666</v>
      </c>
      <c r="F37" s="74">
        <f>'Compléter avc fascic acompte ok'!F33</f>
        <v>0.40540877563261229</v>
      </c>
      <c r="G37" s="74">
        <f>'Compléter avc fascic acompte ok'!G33</f>
        <v>0.41334916646953546</v>
      </c>
      <c r="H37" s="74">
        <f>'Compléter avc fascic acompte ok'!H33</f>
        <v>0.42360964205776003</v>
      </c>
      <c r="I37" s="74">
        <f>'Compléter avc fascic acompte ok'!I33</f>
        <v>0.42982437927923633</v>
      </c>
      <c r="J37" s="74">
        <f>'Compléter avc fascic acompte ok'!J33</f>
        <v>0.42480487135777473</v>
      </c>
      <c r="K37" s="379">
        <f>'Compléter avc fascic acompte ok'!K33</f>
        <v>0.43201350693255219</v>
      </c>
      <c r="L37" s="380">
        <f>'Compléter avc fascic acompte ok'!L33</f>
        <v>0.43524588900708777</v>
      </c>
      <c r="M37" s="380">
        <f>'Compléter avc fascic acompte ok'!M33</f>
        <v>0.44561868230056995</v>
      </c>
      <c r="N37" s="380">
        <f>'Compléter avc fascic acompte ok'!N33</f>
        <v>0.46076796836526118</v>
      </c>
      <c r="O37" s="380">
        <f>'Compléter avc fascic acompte ok'!O33</f>
        <v>0.47582837152971053</v>
      </c>
      <c r="P37" s="380">
        <f>'Compléter avc fascic acompte ok'!P33</f>
        <v>0.49200131356948817</v>
      </c>
      <c r="Q37" s="380">
        <f>'Compléter avc fascic acompte ok'!Q33</f>
        <v>0.48923061209269458</v>
      </c>
      <c r="R37" s="493">
        <f>'Compléter avc fascic acompte ok'!R33</f>
        <v>0.50205296249393694</v>
      </c>
      <c r="S37" s="493">
        <f>'Compléter avc fascic acompte ok'!S33</f>
        <v>0.49838145766250952</v>
      </c>
      <c r="T37" s="493">
        <f>'Compléter avc fascic acompte ok'!T33</f>
        <v>0.5029928032194475</v>
      </c>
      <c r="U37" s="493">
        <f>'Compléter avc fascic acompte ok'!U33</f>
        <v>0.50830960551281301</v>
      </c>
      <c r="V37" s="493">
        <f>'Compléter avc fascic acompte ok'!V33</f>
        <v>0.52538068807511928</v>
      </c>
      <c r="W37" s="493">
        <f>'Compléter avc fascic acompte ok'!W33</f>
        <v>0.50460426134552039</v>
      </c>
      <c r="X37" s="493">
        <f>'Compléter avc fascic acompte ok'!X33</f>
        <v>0.50630692033245561</v>
      </c>
      <c r="Y37" s="493">
        <f>'Compléter avc fascic acompte ok'!Y33</f>
        <v>0.50860360051891818</v>
      </c>
    </row>
    <row r="38" spans="1:25" x14ac:dyDescent="0.25">
      <c r="A38" s="399" t="s">
        <v>71</v>
      </c>
      <c r="B38" s="74">
        <f>'Compléter avc fascic acompte ok'!B34</f>
        <v>2.2708110001379795</v>
      </c>
      <c r="C38" s="74">
        <f>'Compléter avc fascic acompte ok'!C34</f>
        <v>2.2480527483179973</v>
      </c>
      <c r="D38" s="74">
        <f>'Compléter avc fascic acompte ok'!D34</f>
        <v>2.2660433814744043</v>
      </c>
      <c r="E38" s="74">
        <f>'Compléter avc fascic acompte ok'!E34</f>
        <v>2.0907611230358363</v>
      </c>
      <c r="F38" s="74">
        <f>'Compléter avc fascic acompte ok'!F34</f>
        <v>2.1510216739602357</v>
      </c>
      <c r="G38" s="74">
        <f>'Compléter avc fascic acompte ok'!G34</f>
        <v>2.1695048612292251</v>
      </c>
      <c r="H38" s="74">
        <f>'Compléter avc fascic acompte ok'!H34</f>
        <v>2.1844794421735996</v>
      </c>
      <c r="I38" s="74">
        <f>'Compléter avc fascic acompte ok'!I34</f>
        <v>2.18848255829477</v>
      </c>
      <c r="J38" s="74">
        <f>'Compléter avc fascic acompte ok'!J34</f>
        <v>2.1767186734411657</v>
      </c>
      <c r="K38" s="379">
        <f>'Compléter avc fascic acompte ok'!K34</f>
        <v>2.1597397812255088</v>
      </c>
      <c r="L38" s="436">
        <f>'Compléter avc fascic acompte ok'!L34</f>
        <v>2.1590856974581256</v>
      </c>
      <c r="M38" s="380">
        <f>'Compléter avc fascic acompte ok'!M34</f>
        <v>2.2638730963080853</v>
      </c>
      <c r="N38" s="380">
        <f>'Compléter avc fascic acompte ok'!N34</f>
        <v>2.2852893277867929</v>
      </c>
      <c r="O38" s="380">
        <f>'Compléter avc fascic acompte ok'!O34</f>
        <v>2.283457176491686</v>
      </c>
      <c r="P38" s="380">
        <f>'Compléter avc fascic acompte ok'!P34</f>
        <v>2.2520349827736341</v>
      </c>
      <c r="Q38" s="380">
        <f>'Compléter avc fascic acompte ok'!Q34</f>
        <v>2.2475338646877723</v>
      </c>
      <c r="R38" s="380">
        <f>'Compléter avc fascic acompte ok'!R34</f>
        <v>2.2503803722467319</v>
      </c>
      <c r="S38" s="380">
        <f>'Compléter avc fascic acompte ok'!S34</f>
        <v>2.2595837867320827</v>
      </c>
      <c r="T38" s="380">
        <f>'Compléter avc fascic acompte ok'!T34</f>
        <v>2.2396445105710283</v>
      </c>
      <c r="U38" s="380">
        <f>'Compléter avc fascic acompte ok'!U34</f>
        <v>2.1589416660323262</v>
      </c>
      <c r="V38" s="381">
        <f>'Compléter avc fascic acompte ok'!V34</f>
        <v>2.1643984358192334</v>
      </c>
      <c r="W38" s="381">
        <f>'Compléter avc fascic acompte ok'!W34</f>
        <v>2.0449799147900181</v>
      </c>
      <c r="X38" s="381">
        <f>'Compléter avc fascic acompte ok'!X34</f>
        <v>1.9803649549487059</v>
      </c>
      <c r="Y38" s="381">
        <f>'Compléter avc fascic acompte ok'!Y34</f>
        <v>1.9602489848271094</v>
      </c>
    </row>
    <row r="39" spans="1:25" x14ac:dyDescent="0.25">
      <c r="A39" s="399" t="s">
        <v>72</v>
      </c>
      <c r="B39" s="74">
        <f>'Compléter avc fascic acompte ok'!B35</f>
        <v>2.5118719068413391</v>
      </c>
      <c r="C39" s="74">
        <f>'Compléter avc fascic acompte ok'!C35</f>
        <v>2.5430801756383152</v>
      </c>
      <c r="D39" s="74">
        <f>'Compléter avc fascic acompte ok'!D35</f>
        <v>2.6102134669503743</v>
      </c>
      <c r="E39" s="74">
        <f>'Compléter avc fascic acompte ok'!E35</f>
        <v>2.6620783556833549</v>
      </c>
      <c r="F39" s="74">
        <f>'Compléter avc fascic acompte ok'!F35</f>
        <v>2.7033995732645582</v>
      </c>
      <c r="G39" s="74">
        <f>'Compléter avc fascic acompte ok'!G35</f>
        <v>2.7322716494794363</v>
      </c>
      <c r="H39" s="74">
        <f>'Compléter avc fascic acompte ok'!H35</f>
        <v>2.7717452680065571</v>
      </c>
      <c r="I39" s="74">
        <f>'Compléter avc fascic acompte ok'!I35</f>
        <v>2.7982875200819164</v>
      </c>
      <c r="J39" s="74">
        <f>'Compléter avc fascic acompte ok'!J35</f>
        <v>2.8010479359139917</v>
      </c>
      <c r="K39" s="379">
        <f>'Compléter avc fascic acompte ok'!K35</f>
        <v>2.7819434387582067</v>
      </c>
      <c r="L39" s="436">
        <f>'Compléter avc fascic acompte ok'!L35</f>
        <v>2.7550641116631183</v>
      </c>
      <c r="M39" s="380">
        <f>'Compléter avc fascic acompte ok'!M35</f>
        <v>2.7426126402397744</v>
      </c>
      <c r="N39" s="380">
        <f>'Compléter avc fascic acompte ok'!N35</f>
        <v>2.7157936794098445</v>
      </c>
      <c r="O39" s="380">
        <f>'Compléter avc fascic acompte ok'!O35</f>
        <v>2.6977086678162969</v>
      </c>
      <c r="P39" s="380">
        <f>'Compléter avc fascic acompte ok'!P35</f>
        <v>2.6876112050287873</v>
      </c>
      <c r="Q39" s="380">
        <f>'Compléter avc fascic acompte ok'!Q35</f>
        <v>2.6724513432923569</v>
      </c>
      <c r="R39" s="380">
        <f>'Compléter avc fascic acompte ok'!R35</f>
        <v>2.642603639500579</v>
      </c>
      <c r="S39" s="380">
        <f>'Compléter avc fascic acompte ok'!S35</f>
        <v>2.6013663935298501</v>
      </c>
      <c r="T39" s="380">
        <f>'Compléter avc fascic acompte ok'!T35</f>
        <v>2.5652294727153131</v>
      </c>
      <c r="U39" s="380">
        <f>'Compléter avc fascic acompte ok'!U35</f>
        <v>2.5359855422863702</v>
      </c>
      <c r="V39" s="381">
        <f>'Compléter avc fascic acompte ok'!V35</f>
        <v>2.4949879580076426</v>
      </c>
      <c r="W39" s="381">
        <f>'Compléter avc fascic acompte ok'!W35</f>
        <v>2.4316730874438899</v>
      </c>
      <c r="X39" s="381">
        <f>'Compléter avc fascic acompte ok'!X35</f>
        <v>2.3805399448010958</v>
      </c>
      <c r="Y39" s="381">
        <f>'Compléter avc fascic acompte ok'!Y35</f>
        <v>2.3474432876660316</v>
      </c>
    </row>
    <row r="40" spans="1:25" x14ac:dyDescent="0.25">
      <c r="A40" s="420" t="str">
        <f>A31</f>
        <v>SSI</v>
      </c>
      <c r="B40" s="435">
        <f>'Compléter avc fascic acompte ok'!B36</f>
        <v>0.88661258025597467</v>
      </c>
      <c r="C40" s="435">
        <f>'Compléter avc fascic acompte ok'!C36</f>
        <v>0.89169405847897276</v>
      </c>
      <c r="D40" s="435">
        <f>'Compléter avc fascic acompte ok'!D36</f>
        <v>0.90510581166705018</v>
      </c>
      <c r="E40" s="435">
        <f>'Compléter avc fascic acompte ok'!E36</f>
        <v>0.89054788195747947</v>
      </c>
      <c r="F40" s="435">
        <f>'Compléter avc fascic acompte ok'!F36</f>
        <v>0.8693887098277906</v>
      </c>
      <c r="G40" s="435">
        <f>'Compléter avc fascic acompte ok'!G36</f>
        <v>0.85430139487569501</v>
      </c>
      <c r="H40" s="492">
        <f>'Compléter avc fascic acompte ok'!H36</f>
        <v>0.87737555419766333</v>
      </c>
      <c r="I40" s="492">
        <f>'Compléter avc fascic acompte ok'!I36</f>
        <v>0.86029896274864148</v>
      </c>
      <c r="J40" s="492">
        <f>'Compléter avc fascic acompte ok'!J36</f>
        <v>0.83071465718539006</v>
      </c>
      <c r="K40" s="492">
        <f>'Compléter avc fascic acompte ok'!K36</f>
        <v>0.84622932614238289</v>
      </c>
      <c r="L40" s="491">
        <f>'Compléter avc fascic acompte ok'!L36</f>
        <v>0.80617262264657696</v>
      </c>
      <c r="M40" s="491">
        <f>'Compléter avc fascic acompte ok'!M36</f>
        <v>0.79372767414986756</v>
      </c>
      <c r="N40" s="491">
        <f>'Compléter avc fascic acompte ok'!N36</f>
        <v>0.84189463229749439</v>
      </c>
      <c r="O40" s="491">
        <f>'Compléter avc fascic acompte ok'!O36</f>
        <v>0.87535167801877944</v>
      </c>
      <c r="P40" s="491">
        <f>'Compléter avc fascic acompte ok'!P36</f>
        <v>0.93133972285772426</v>
      </c>
      <c r="Q40" s="491">
        <f>'Compléter avc fascic acompte ok'!Q36</f>
        <v>0.98053229390600027</v>
      </c>
      <c r="R40" s="491">
        <f>'Compléter avc fascic acompte ok'!R36</f>
        <v>0.91792315175097272</v>
      </c>
      <c r="S40" s="491">
        <f>'Compléter avc fascic acompte ok'!S36</f>
        <v>0.85870292457305075</v>
      </c>
      <c r="T40" s="491">
        <f>'Compléter avc fascic acompte ok'!T36</f>
        <v>0.80657010274767482</v>
      </c>
      <c r="U40" s="491">
        <f>'Compléter avc fascic acompte ok'!U36</f>
        <v>0.72508592612154099</v>
      </c>
      <c r="V40" s="491">
        <f>'Compléter avc fascic acompte ok'!V36</f>
        <v>0.67906673215527424</v>
      </c>
      <c r="W40" s="491">
        <f>'Compléter avc fascic acompte ok'!W36</f>
        <v>0.60673276030754009</v>
      </c>
      <c r="X40" s="491">
        <f>'Compléter avc fascic acompte ok'!X36</f>
        <v>0.54070122288908595</v>
      </c>
      <c r="Y40" s="491">
        <f>'Compléter avc fascic acompte ok'!Y36</f>
        <v>0.50091951863108619</v>
      </c>
    </row>
    <row r="41" spans="1:25" x14ac:dyDescent="0.25">
      <c r="B41" s="74">
        <f>'Compléter avc fascic acompte ok'!B37</f>
        <v>0</v>
      </c>
      <c r="C41" s="74">
        <f>'Compléter avc fascic acompte ok'!C37</f>
        <v>0</v>
      </c>
      <c r="D41" s="74">
        <f>'Compléter avc fascic acompte ok'!D37</f>
        <v>0</v>
      </c>
      <c r="E41" s="74">
        <f>'Compléter avc fascic acompte ok'!E37</f>
        <v>0</v>
      </c>
      <c r="F41" s="74">
        <f>'Compléter avc fascic acompte ok'!F37</f>
        <v>0</v>
      </c>
      <c r="G41" s="74">
        <f>'Compléter avc fascic acompte ok'!G37</f>
        <v>0</v>
      </c>
      <c r="H41" s="74">
        <f>'Compléter avc fascic acompte ok'!H37</f>
        <v>0</v>
      </c>
      <c r="I41" s="74">
        <f>'Compléter avc fascic acompte ok'!I37</f>
        <v>0</v>
      </c>
      <c r="J41" s="74">
        <f>'Compléter avc fascic acompte ok'!J37</f>
        <v>0</v>
      </c>
      <c r="K41" s="74">
        <f>'Compléter avc fascic acompte ok'!K37</f>
        <v>0</v>
      </c>
      <c r="L41" s="278">
        <f>'Compléter avc fascic acompte ok'!L37</f>
        <v>0</v>
      </c>
      <c r="M41" s="278">
        <f>'Compléter avc fascic acompte ok'!M37</f>
        <v>0</v>
      </c>
      <c r="N41" s="278">
        <f>'Compléter avc fascic acompte ok'!N37</f>
        <v>0</v>
      </c>
      <c r="O41" s="278">
        <f>'Compléter avc fascic acompte ok'!O37</f>
        <v>0</v>
      </c>
      <c r="P41" s="278">
        <f>'Compléter avc fascic acompte ok'!P37</f>
        <v>0</v>
      </c>
      <c r="Q41" s="278">
        <f>'Compléter avc fascic acompte ok'!Q37</f>
        <v>0</v>
      </c>
      <c r="R41" s="278">
        <f>'Compléter avc fascic acompte ok'!R37</f>
        <v>0</v>
      </c>
      <c r="S41" s="278">
        <f>'Compléter avc fascic acompte ok'!S37</f>
        <v>0</v>
      </c>
      <c r="T41" s="278">
        <f>'Compléter avc fascic acompte ok'!T37</f>
        <v>0</v>
      </c>
      <c r="U41" s="278">
        <f>'Compléter avc fascic acompte ok'!U37</f>
        <v>0</v>
      </c>
      <c r="V41" s="278">
        <f>'Compléter avc fascic acompte ok'!V37</f>
        <v>0</v>
      </c>
      <c r="W41" s="278">
        <f>'Compléter avc fascic acompte ok'!W37</f>
        <v>0</v>
      </c>
      <c r="X41" s="278">
        <f>'Compléter avc fascic acompte ok'!X37</f>
        <v>0</v>
      </c>
      <c r="Y41" s="278">
        <f>'Compléter avc fascic acompte ok'!Y37</f>
        <v>0</v>
      </c>
    </row>
    <row r="43" spans="1:25" ht="13" x14ac:dyDescent="0.3">
      <c r="A43" s="3" t="s">
        <v>3</v>
      </c>
      <c r="B43" s="399">
        <v>2000</v>
      </c>
      <c r="C43" s="399">
        <f t="shared" ref="C43:J43" si="78">+B43+1</f>
        <v>2001</v>
      </c>
      <c r="D43" s="399">
        <f t="shared" si="78"/>
        <v>2002</v>
      </c>
      <c r="E43" s="399">
        <f t="shared" si="78"/>
        <v>2003</v>
      </c>
      <c r="F43" s="399">
        <f t="shared" si="78"/>
        <v>2004</v>
      </c>
      <c r="G43" s="399">
        <f t="shared" si="78"/>
        <v>2005</v>
      </c>
      <c r="H43" s="399">
        <f t="shared" si="78"/>
        <v>2006</v>
      </c>
      <c r="I43" s="399">
        <f t="shared" si="78"/>
        <v>2007</v>
      </c>
      <c r="J43" s="399">
        <f t="shared" si="78"/>
        <v>2008</v>
      </c>
      <c r="K43" s="399">
        <f t="shared" ref="K43:R43" si="79">+J43+1</f>
        <v>2009</v>
      </c>
      <c r="L43" s="399">
        <f t="shared" si="79"/>
        <v>2010</v>
      </c>
      <c r="M43" s="399">
        <f t="shared" si="79"/>
        <v>2011</v>
      </c>
      <c r="N43" s="399">
        <f t="shared" si="79"/>
        <v>2012</v>
      </c>
      <c r="O43" s="399">
        <f t="shared" si="79"/>
        <v>2013</v>
      </c>
      <c r="P43" s="399">
        <f t="shared" si="79"/>
        <v>2014</v>
      </c>
      <c r="Q43" s="399">
        <f t="shared" si="79"/>
        <v>2015</v>
      </c>
      <c r="R43" s="399">
        <f t="shared" si="79"/>
        <v>2016</v>
      </c>
      <c r="S43" s="399">
        <f t="shared" ref="S43" si="80">+R43+1</f>
        <v>2017</v>
      </c>
      <c r="T43" s="399">
        <f t="shared" ref="T43:U43" si="81">+S43+1</f>
        <v>2018</v>
      </c>
      <c r="U43" s="399">
        <f t="shared" si="81"/>
        <v>2019</v>
      </c>
      <c r="V43" s="399">
        <v>2020</v>
      </c>
      <c r="W43" s="399">
        <v>2021</v>
      </c>
      <c r="X43" s="399">
        <v>2022</v>
      </c>
      <c r="Y43" s="399">
        <v>2023</v>
      </c>
    </row>
    <row r="44" spans="1:25" x14ac:dyDescent="0.25">
      <c r="A44" s="399" t="s">
        <v>0</v>
      </c>
      <c r="B44" s="2">
        <f t="shared" ref="B44:R44" si="82">(B2/$B2)*100</f>
        <v>100</v>
      </c>
      <c r="C44" s="2">
        <f t="shared" si="82"/>
        <v>102.6085677592306</v>
      </c>
      <c r="D44" s="2">
        <f t="shared" si="82"/>
        <v>102.91879384824394</v>
      </c>
      <c r="E44" s="2">
        <f t="shared" si="82"/>
        <v>112.81236780138254</v>
      </c>
      <c r="F44" s="2">
        <f t="shared" si="82"/>
        <v>110.00820294790597</v>
      </c>
      <c r="G44" s="2">
        <f t="shared" si="82"/>
        <v>109.65127615732071</v>
      </c>
      <c r="H44" s="2">
        <f t="shared" si="82"/>
        <v>108.46510866252525</v>
      </c>
      <c r="I44" s="2">
        <f t="shared" si="82"/>
        <v>107.89666408397636</v>
      </c>
      <c r="J44" s="2">
        <f t="shared" si="82"/>
        <v>107.99976952900523</v>
      </c>
      <c r="K44" s="2">
        <f t="shared" si="82"/>
        <v>108.55030074287893</v>
      </c>
      <c r="L44" s="2">
        <f t="shared" si="82"/>
        <v>107.63027819909219</v>
      </c>
      <c r="M44" s="2">
        <f t="shared" si="82"/>
        <v>103.76504653341729</v>
      </c>
      <c r="N44" s="2">
        <f t="shared" si="82"/>
        <v>103.62536939800067</v>
      </c>
      <c r="O44" s="2">
        <f t="shared" si="82"/>
        <v>104.8439847828493</v>
      </c>
      <c r="P44" s="2">
        <f t="shared" si="82"/>
        <v>108.13198709968933</v>
      </c>
      <c r="Q44" s="2">
        <f t="shared" si="82"/>
        <v>109.77181855261182</v>
      </c>
      <c r="R44" s="2">
        <f t="shared" si="82"/>
        <v>111.21620453694283</v>
      </c>
      <c r="S44" s="2">
        <f t="shared" ref="S44:U44" si="83">(S2/$B2)*100</f>
        <v>111.75204959978409</v>
      </c>
      <c r="T44" s="2">
        <f t="shared" si="83"/>
        <v>114.13848577523922</v>
      </c>
      <c r="U44" s="2">
        <f t="shared" si="83"/>
        <v>119.514373353914</v>
      </c>
      <c r="V44" s="2">
        <f t="shared" ref="V44:W44" si="84">(V2/$B2)*100</f>
        <v>119.81307589318881</v>
      </c>
      <c r="W44" s="2">
        <f t="shared" si="84"/>
        <v>124.56047513415081</v>
      </c>
      <c r="X44" s="2">
        <f t="shared" ref="X44:Y44" si="85">(X2/$B2)*100</f>
        <v>126.78300397714091</v>
      </c>
      <c r="Y44" s="2">
        <f t="shared" si="85"/>
        <v>125.42458973888546</v>
      </c>
    </row>
    <row r="45" spans="1:25" x14ac:dyDescent="0.25">
      <c r="A45" s="399" t="s">
        <v>1</v>
      </c>
      <c r="B45" s="2">
        <f t="shared" ref="B45:R45" si="86">(B3/$B3)*100</f>
        <v>100</v>
      </c>
      <c r="C45" s="2">
        <f t="shared" si="86"/>
        <v>98.455604075691411</v>
      </c>
      <c r="D45" s="2">
        <f t="shared" si="86"/>
        <v>95.430131004366814</v>
      </c>
      <c r="E45" s="2">
        <f t="shared" si="86"/>
        <v>92.687481804949059</v>
      </c>
      <c r="F45" s="2">
        <f t="shared" si="86"/>
        <v>90.528529839883561</v>
      </c>
      <c r="G45" s="2">
        <f t="shared" si="86"/>
        <v>88.276273653566221</v>
      </c>
      <c r="H45" s="2">
        <f t="shared" si="86"/>
        <v>85.069286754002917</v>
      </c>
      <c r="I45" s="2">
        <f t="shared" si="86"/>
        <v>82.449781659388648</v>
      </c>
      <c r="J45" s="2">
        <f t="shared" si="86"/>
        <v>80.368704512372631</v>
      </c>
      <c r="K45" s="2">
        <f t="shared" si="86"/>
        <v>78.198398835516741</v>
      </c>
      <c r="L45" s="2">
        <f t="shared" si="86"/>
        <v>76.910480349344979</v>
      </c>
      <c r="M45" s="2">
        <f t="shared" si="86"/>
        <v>75.471179039301305</v>
      </c>
      <c r="N45" s="2">
        <f t="shared" si="86"/>
        <v>74.684861717612804</v>
      </c>
      <c r="O45" s="2">
        <f t="shared" si="86"/>
        <v>73.436681222707421</v>
      </c>
      <c r="P45" s="2">
        <f t="shared" si="86"/>
        <v>72.155167394468705</v>
      </c>
      <c r="Q45" s="2">
        <f t="shared" si="86"/>
        <v>70.660262008733625</v>
      </c>
      <c r="R45" s="2">
        <f t="shared" si="86"/>
        <v>69.518631732168842</v>
      </c>
      <c r="S45" s="2">
        <f t="shared" ref="S45:U45" si="87">(S3/$B3)*100</f>
        <v>68.391557496360988</v>
      </c>
      <c r="T45" s="2">
        <f t="shared" si="87"/>
        <v>67.051382823871904</v>
      </c>
      <c r="U45" s="2">
        <f t="shared" si="87"/>
        <v>65.56288209606987</v>
      </c>
      <c r="V45" s="2">
        <f t="shared" ref="V45:W45" si="88">(V3/$B3)*100</f>
        <v>64.488064046579325</v>
      </c>
      <c r="W45" s="2">
        <f t="shared" si="88"/>
        <v>63.58995633187773</v>
      </c>
      <c r="X45" s="2">
        <f t="shared" ref="X45:Y45" si="89">(X3/$B3)*100</f>
        <v>62.602765647743816</v>
      </c>
      <c r="Y45" s="2">
        <f t="shared" si="89"/>
        <v>61.336390101892292</v>
      </c>
    </row>
    <row r="46" spans="1:25" s="7" customFormat="1" x14ac:dyDescent="0.25">
      <c r="A46" s="401" t="s">
        <v>2</v>
      </c>
      <c r="B46" s="6">
        <f t="shared" ref="B46:R46" si="90">(B4/$B4)*100</f>
        <v>100</v>
      </c>
      <c r="C46" s="6">
        <f t="shared" si="90"/>
        <v>102.52093060552522</v>
      </c>
      <c r="D46" s="6">
        <f t="shared" si="90"/>
        <v>107.06417343636141</v>
      </c>
      <c r="E46" s="6">
        <f t="shared" si="90"/>
        <v>127.26538025166032</v>
      </c>
      <c r="F46" s="6">
        <f t="shared" si="90"/>
        <v>127.88260669405685</v>
      </c>
      <c r="G46" s="6">
        <f t="shared" si="90"/>
        <v>128.4333991272232</v>
      </c>
      <c r="H46" s="6">
        <f t="shared" si="90"/>
        <v>128.13237651059518</v>
      </c>
      <c r="I46" s="6">
        <f t="shared" si="90"/>
        <v>128.74045530133014</v>
      </c>
      <c r="J46" s="6">
        <f t="shared" si="90"/>
        <v>132.9790813318358</v>
      </c>
      <c r="K46" s="6">
        <f t="shared" si="90"/>
        <v>133.66763773046256</v>
      </c>
      <c r="L46" s="6">
        <f t="shared" si="90"/>
        <v>135.65880792077309</v>
      </c>
      <c r="M46" s="6">
        <f t="shared" si="90"/>
        <v>136.33680148272404</v>
      </c>
      <c r="N46" s="6">
        <f t="shared" si="90"/>
        <v>136.70561403709092</v>
      </c>
      <c r="O46" s="6">
        <f t="shared" si="90"/>
        <v>137.11172435699146</v>
      </c>
      <c r="P46" s="6">
        <f t="shared" si="90"/>
        <v>137.42223847318039</v>
      </c>
      <c r="Q46" s="6">
        <f t="shared" si="90"/>
        <v>142.47855427139538</v>
      </c>
      <c r="R46" s="6">
        <f t="shared" si="90"/>
        <v>142.98473730539507</v>
      </c>
      <c r="S46" s="6">
        <f t="shared" ref="S46:T46" si="91">(S4/$B4)*100</f>
        <v>146.94437942331129</v>
      </c>
      <c r="T46" s="6">
        <f t="shared" si="91"/>
        <v>148.93309186993051</v>
      </c>
      <c r="U46" s="6">
        <f t="shared" ref="U46:V46" si="92">(U4/$B4)*100</f>
        <v>150.69853673904515</v>
      </c>
      <c r="V46" s="6">
        <f t="shared" si="92"/>
        <v>148.73343301894823</v>
      </c>
      <c r="W46" s="6">
        <f t="shared" ref="W46:X46" si="93">(W4/$B4)*100</f>
        <v>156.16861185099683</v>
      </c>
      <c r="X46" s="6">
        <f t="shared" si="93"/>
        <v>157.6878810872756</v>
      </c>
      <c r="Y46" s="6">
        <f t="shared" ref="Y46" si="94">(Y4/$B4)*100</f>
        <v>159.44495034057812</v>
      </c>
    </row>
    <row r="47" spans="1:25" x14ac:dyDescent="0.25">
      <c r="A47" s="420" t="str">
        <f>A40</f>
        <v>SSI</v>
      </c>
      <c r="B47" s="434">
        <f t="shared" ref="B47:R47" si="95">(B5/$B5)*100</f>
        <v>100</v>
      </c>
      <c r="C47" s="434">
        <f t="shared" si="95"/>
        <v>101.42208152129484</v>
      </c>
      <c r="D47" s="434">
        <f t="shared" si="95"/>
        <v>101.10370774293294</v>
      </c>
      <c r="E47" s="434">
        <f t="shared" si="95"/>
        <v>104.09448083244321</v>
      </c>
      <c r="F47" s="434">
        <f t="shared" si="95"/>
        <v>107.92080542097835</v>
      </c>
      <c r="G47" s="434">
        <f t="shared" si="95"/>
        <v>111.97800489957841</v>
      </c>
      <c r="H47" s="434">
        <f t="shared" si="95"/>
        <v>110.40931333136297</v>
      </c>
      <c r="I47" s="434">
        <f t="shared" si="95"/>
        <v>114.3835954856323</v>
      </c>
      <c r="J47" s="434">
        <f t="shared" si="95"/>
        <v>120.57185105066041</v>
      </c>
      <c r="K47" s="434">
        <f t="shared" si="95"/>
        <v>120.66011331006885</v>
      </c>
      <c r="L47" s="434">
        <f t="shared" si="95"/>
        <v>129.17548917178797</v>
      </c>
      <c r="M47" s="434">
        <f t="shared" si="95"/>
        <v>134.80015162340084</v>
      </c>
      <c r="N47" s="434">
        <f t="shared" si="95"/>
        <v>131.87906108482451</v>
      </c>
      <c r="O47" s="434">
        <f t="shared" si="95"/>
        <v>131.139363090741</v>
      </c>
      <c r="P47" s="434">
        <f t="shared" si="95"/>
        <v>127.57742169343587</v>
      </c>
      <c r="Q47" s="434">
        <f t="shared" si="95"/>
        <v>125.31673429713868</v>
      </c>
      <c r="R47" s="434">
        <f t="shared" si="95"/>
        <v>138.15553421485021</v>
      </c>
      <c r="S47" s="434">
        <f t="shared" ref="S47:T47" si="96">(S5/$B5)*100</f>
        <v>151.32196087344371</v>
      </c>
      <c r="T47" s="434">
        <f t="shared" si="96"/>
        <v>157.52665616799786</v>
      </c>
      <c r="U47" s="434">
        <f t="shared" ref="U47:V47" si="97">(U5/$B5)*100</f>
        <v>179.61455571855544</v>
      </c>
      <c r="V47" s="434">
        <f t="shared" si="97"/>
        <v>195.33848325079032</v>
      </c>
      <c r="W47" s="434">
        <f t="shared" ref="W47:X47" si="98">(W5/$B5)*100</f>
        <v>219.90977014024077</v>
      </c>
      <c r="X47" s="434">
        <f t="shared" si="98"/>
        <v>235.20725288526236</v>
      </c>
      <c r="Y47" s="434">
        <f t="shared" ref="Y47" si="99">(Y5/$B5)*100</f>
        <v>246.68595714710503</v>
      </c>
    </row>
    <row r="48" spans="1:25" x14ac:dyDescent="0.25">
      <c r="C48" s="70">
        <f t="shared" ref="C48:R48" si="100">(C4/B4)-1</f>
        <v>2.520930605525229E-2</v>
      </c>
      <c r="D48" s="70">
        <f t="shared" si="100"/>
        <v>4.4315271076863727E-2</v>
      </c>
      <c r="E48" s="70">
        <f t="shared" si="100"/>
        <v>0.18868316232139448</v>
      </c>
      <c r="F48" s="70">
        <f t="shared" si="100"/>
        <v>4.849916302265278E-3</v>
      </c>
      <c r="G48" s="70">
        <f t="shared" si="100"/>
        <v>4.3070160001044133E-3</v>
      </c>
      <c r="H48" s="70">
        <f t="shared" si="100"/>
        <v>-2.3438032371145834E-3</v>
      </c>
      <c r="I48" s="70">
        <f t="shared" si="100"/>
        <v>4.745707582225922E-3</v>
      </c>
      <c r="J48" s="70">
        <f t="shared" si="100"/>
        <v>3.2923807987044418E-2</v>
      </c>
      <c r="K48" s="70">
        <f t="shared" si="100"/>
        <v>5.1779301806766931E-3</v>
      </c>
      <c r="L48" s="70">
        <f t="shared" si="100"/>
        <v>1.4896426869798196E-2</v>
      </c>
      <c r="M48" s="70">
        <f t="shared" si="100"/>
        <v>4.9977850487004094E-3</v>
      </c>
      <c r="N48" s="70">
        <f t="shared" si="100"/>
        <v>2.7051577443206742E-3</v>
      </c>
      <c r="O48" s="70">
        <f t="shared" si="100"/>
        <v>2.9706923359440474E-3</v>
      </c>
      <c r="P48" s="70">
        <f t="shared" si="100"/>
        <v>2.264679535212144E-3</v>
      </c>
      <c r="Q48" s="70">
        <f t="shared" si="100"/>
        <v>3.6794014232287564E-2</v>
      </c>
      <c r="R48" s="70">
        <f t="shared" si="100"/>
        <v>3.5526963098986286E-3</v>
      </c>
      <c r="S48" s="70">
        <f t="shared" ref="S48" si="101">(S4/R4)-1</f>
        <v>2.7692760727733967E-2</v>
      </c>
      <c r="T48" s="70">
        <f t="shared" ref="T48:Y48" si="102">(T4/S4)-1</f>
        <v>1.3533776891800908E-2</v>
      </c>
      <c r="U48" s="70">
        <f t="shared" si="102"/>
        <v>1.1853946271769278E-2</v>
      </c>
      <c r="V48" s="70">
        <f t="shared" si="102"/>
        <v>-1.3039965500791562E-2</v>
      </c>
      <c r="W48" s="70">
        <f t="shared" si="102"/>
        <v>4.9989963124843495E-2</v>
      </c>
      <c r="X48" s="70">
        <f t="shared" si="102"/>
        <v>9.7283904766236606E-3</v>
      </c>
      <c r="Y48" s="70">
        <f t="shared" si="102"/>
        <v>1.1142703175331503E-2</v>
      </c>
    </row>
    <row r="49" spans="1:25" ht="13" x14ac:dyDescent="0.3">
      <c r="A49" s="3" t="s">
        <v>4</v>
      </c>
      <c r="B49" s="399">
        <v>2000</v>
      </c>
      <c r="C49" s="399">
        <f t="shared" ref="C49:J49" si="103">B49+1</f>
        <v>2001</v>
      </c>
      <c r="D49" s="399">
        <f t="shared" si="103"/>
        <v>2002</v>
      </c>
      <c r="E49" s="399">
        <f t="shared" si="103"/>
        <v>2003</v>
      </c>
      <c r="F49" s="399">
        <f t="shared" si="103"/>
        <v>2004</v>
      </c>
      <c r="G49" s="399">
        <f t="shared" si="103"/>
        <v>2005</v>
      </c>
      <c r="H49" s="399">
        <f t="shared" si="103"/>
        <v>2006</v>
      </c>
      <c r="I49" s="399">
        <f t="shared" si="103"/>
        <v>2007</v>
      </c>
      <c r="J49" s="399">
        <f t="shared" si="103"/>
        <v>2008</v>
      </c>
      <c r="K49" s="399">
        <f t="shared" ref="K49:R49" si="104">J49+1</f>
        <v>2009</v>
      </c>
      <c r="L49" s="399">
        <f t="shared" si="104"/>
        <v>2010</v>
      </c>
      <c r="M49" s="399">
        <f t="shared" si="104"/>
        <v>2011</v>
      </c>
      <c r="N49" s="399">
        <f t="shared" si="104"/>
        <v>2012</v>
      </c>
      <c r="O49" s="399">
        <f t="shared" si="104"/>
        <v>2013</v>
      </c>
      <c r="P49" s="399">
        <f t="shared" si="104"/>
        <v>2014</v>
      </c>
      <c r="Q49" s="399">
        <f t="shared" si="104"/>
        <v>2015</v>
      </c>
      <c r="R49" s="399">
        <f t="shared" si="104"/>
        <v>2016</v>
      </c>
      <c r="S49" s="399">
        <f t="shared" ref="S49" si="105">R49+1</f>
        <v>2017</v>
      </c>
      <c r="T49" s="399">
        <f t="shared" ref="T49:U49" si="106">S49+1</f>
        <v>2018</v>
      </c>
      <c r="U49" s="399">
        <f t="shared" si="106"/>
        <v>2019</v>
      </c>
      <c r="V49" s="399">
        <v>2020</v>
      </c>
      <c r="W49" s="399">
        <v>2021</v>
      </c>
      <c r="X49" s="399">
        <v>2022</v>
      </c>
      <c r="Y49" s="399">
        <v>2023</v>
      </c>
    </row>
    <row r="50" spans="1:25" x14ac:dyDescent="0.25">
      <c r="A50" s="399" t="s">
        <v>0</v>
      </c>
      <c r="B50" s="2">
        <f t="shared" ref="B50:R50" si="107">(B19/$B19)*100</f>
        <v>100</v>
      </c>
      <c r="C50" s="2">
        <f t="shared" si="107"/>
        <v>101.58021638000511</v>
      </c>
      <c r="D50" s="2">
        <f t="shared" si="107"/>
        <v>102.70271353052765</v>
      </c>
      <c r="E50" s="2">
        <f t="shared" si="107"/>
        <v>103.86761063885051</v>
      </c>
      <c r="F50" s="2">
        <f t="shared" si="107"/>
        <v>104.2050742399891</v>
      </c>
      <c r="G50" s="2">
        <f t="shared" si="107"/>
        <v>104.75947872757392</v>
      </c>
      <c r="H50" s="2">
        <f t="shared" si="107"/>
        <v>104.3414885924082</v>
      </c>
      <c r="I50" s="2">
        <f t="shared" si="107"/>
        <v>103.9848615457756</v>
      </c>
      <c r="J50" s="2">
        <f t="shared" si="107"/>
        <v>103.52473853915787</v>
      </c>
      <c r="K50" s="2">
        <f t="shared" si="107"/>
        <v>103.24082575086319</v>
      </c>
      <c r="L50" s="2">
        <f t="shared" si="107"/>
        <v>102.3348020856773</v>
      </c>
      <c r="M50" s="2">
        <f t="shared" si="107"/>
        <v>103.44801798559469</v>
      </c>
      <c r="N50" s="2">
        <f t="shared" si="107"/>
        <v>104.28606817512585</v>
      </c>
      <c r="O50" s="2">
        <f t="shared" si="107"/>
        <v>105.42786231431656</v>
      </c>
      <c r="P50" s="2">
        <f t="shared" si="107"/>
        <v>107.23790649707574</v>
      </c>
      <c r="Q50" s="2">
        <f t="shared" si="107"/>
        <v>108.64659347271331</v>
      </c>
      <c r="R50" s="2">
        <f t="shared" si="107"/>
        <v>110.21558542322836</v>
      </c>
      <c r="S50" s="2">
        <f t="shared" ref="S50:U50" si="108">(S19/$B19)*100</f>
        <v>111.199531530545</v>
      </c>
      <c r="T50" s="2">
        <f t="shared" si="108"/>
        <v>112.57195473153483</v>
      </c>
      <c r="U50" s="2">
        <f t="shared" si="108"/>
        <v>113.62661194957677</v>
      </c>
      <c r="V50" s="2">
        <f t="shared" ref="V50:W50" si="109">(V19/$B19)*100</f>
        <v>114.19851059297844</v>
      </c>
      <c r="W50" s="2">
        <f t="shared" si="109"/>
        <v>112.17299449868894</v>
      </c>
      <c r="X50" s="2">
        <f t="shared" ref="X50:Y50" si="110">(X19/$B19)*100</f>
        <v>110.56693751448108</v>
      </c>
      <c r="Y50" s="2">
        <f t="shared" si="110"/>
        <v>108.27119680724979</v>
      </c>
    </row>
    <row r="51" spans="1:25" x14ac:dyDescent="0.25">
      <c r="A51" s="399" t="s">
        <v>1</v>
      </c>
      <c r="B51" s="2">
        <f t="shared" ref="B51:R51" si="111">(B20/$B20)*100</f>
        <v>100</v>
      </c>
      <c r="C51" s="2">
        <f t="shared" si="111"/>
        <v>99.678846768996834</v>
      </c>
      <c r="D51" s="2">
        <f t="shared" si="111"/>
        <v>99.166288066683052</v>
      </c>
      <c r="E51" s="2">
        <f t="shared" si="111"/>
        <v>98.230064392903344</v>
      </c>
      <c r="F51" s="2">
        <f t="shared" si="111"/>
        <v>97.431237743791343</v>
      </c>
      <c r="G51" s="2">
        <f t="shared" si="111"/>
        <v>96.02191862109251</v>
      </c>
      <c r="H51" s="2">
        <f t="shared" si="111"/>
        <v>93.870388999893379</v>
      </c>
      <c r="I51" s="2">
        <f t="shared" si="111"/>
        <v>91.851098944401429</v>
      </c>
      <c r="J51" s="2">
        <f t="shared" si="111"/>
        <v>89.621048459252592</v>
      </c>
      <c r="K51" s="2">
        <f t="shared" si="111"/>
        <v>86.606137028469178</v>
      </c>
      <c r="L51" s="2">
        <f t="shared" si="111"/>
        <v>84.356731584974071</v>
      </c>
      <c r="M51" s="2">
        <f t="shared" si="111"/>
        <v>82.403966955175306</v>
      </c>
      <c r="N51" s="2">
        <f t="shared" si="111"/>
        <v>80.748016986004174</v>
      </c>
      <c r="O51" s="2">
        <f t="shared" si="111"/>
        <v>78.869774740736275</v>
      </c>
      <c r="P51" s="2">
        <f t="shared" si="111"/>
        <v>77.20339395568989</v>
      </c>
      <c r="Q51" s="2">
        <f t="shared" si="111"/>
        <v>75.177444999609918</v>
      </c>
      <c r="R51" s="2">
        <f t="shared" si="111"/>
        <v>73.136766539797037</v>
      </c>
      <c r="S51" s="2">
        <f t="shared" ref="S51:U51" si="112">(S20/$B20)*100</f>
        <v>70.828253139675581</v>
      </c>
      <c r="T51" s="2">
        <f t="shared" si="112"/>
        <v>68.475698516969771</v>
      </c>
      <c r="U51" s="2">
        <f t="shared" si="112"/>
        <v>66.192277023925968</v>
      </c>
      <c r="V51" s="2">
        <f t="shared" ref="V51:W51" si="113">(V20/$B20)*100</f>
        <v>64.054597208250073</v>
      </c>
      <c r="W51" s="2">
        <f t="shared" si="113"/>
        <v>61.559661948847278</v>
      </c>
      <c r="X51" s="2">
        <f t="shared" ref="X51:Y51" si="114">(X20/$B20)*100</f>
        <v>59.329611463698441</v>
      </c>
      <c r="Y51" s="2">
        <f t="shared" si="114"/>
        <v>57.3212737648755</v>
      </c>
    </row>
    <row r="52" spans="1:25" s="7" customFormat="1" x14ac:dyDescent="0.25">
      <c r="A52" s="401" t="s">
        <v>2</v>
      </c>
      <c r="B52" s="6">
        <f t="shared" ref="B52:R52" si="115">(B21/$B21)*100</f>
        <v>100</v>
      </c>
      <c r="C52" s="6">
        <f t="shared" si="115"/>
        <v>102.76129558199882</v>
      </c>
      <c r="D52" s="6">
        <f t="shared" si="115"/>
        <v>105.42075892887944</v>
      </c>
      <c r="E52" s="6">
        <f t="shared" si="115"/>
        <v>108.03431497952178</v>
      </c>
      <c r="F52" s="6">
        <f t="shared" si="115"/>
        <v>110.26635890702275</v>
      </c>
      <c r="G52" s="6">
        <f t="shared" si="115"/>
        <v>112.91027145051878</v>
      </c>
      <c r="H52" s="6">
        <f t="shared" si="115"/>
        <v>115.44180977683287</v>
      </c>
      <c r="I52" s="6">
        <f t="shared" si="115"/>
        <v>117.69133628453639</v>
      </c>
      <c r="J52" s="6">
        <f t="shared" si="115"/>
        <v>120.14652803132348</v>
      </c>
      <c r="K52" s="6">
        <f t="shared" si="115"/>
        <v>122.81799599128713</v>
      </c>
      <c r="L52" s="6">
        <f t="shared" si="115"/>
        <v>125.58017467125988</v>
      </c>
      <c r="M52" s="6">
        <f t="shared" si="115"/>
        <v>129.21558546498005</v>
      </c>
      <c r="N52" s="6">
        <f t="shared" si="115"/>
        <v>133.96983999644553</v>
      </c>
      <c r="O52" s="6">
        <f t="shared" si="115"/>
        <v>138.75969441498486</v>
      </c>
      <c r="P52" s="6">
        <f t="shared" si="115"/>
        <v>143.80092819116422</v>
      </c>
      <c r="Q52" s="6">
        <f t="shared" si="115"/>
        <v>148.25233150864145</v>
      </c>
      <c r="R52" s="6">
        <f t="shared" si="115"/>
        <v>152.67840855810246</v>
      </c>
      <c r="S52" s="6">
        <f t="shared" ref="S52:T52" si="116">(S21/$B21)*100</f>
        <v>155.75904064651601</v>
      </c>
      <c r="T52" s="6">
        <f t="shared" si="116"/>
        <v>159.32773614798734</v>
      </c>
      <c r="U52" s="6">
        <f t="shared" ref="U52:V52" si="117">(U21/$B21)*100</f>
        <v>162.92050986765395</v>
      </c>
      <c r="V52" s="6">
        <f t="shared" si="117"/>
        <v>166.19621001946402</v>
      </c>
      <c r="W52" s="6">
        <f t="shared" ref="W52:X52" si="118">(W21/$B21)*100</f>
        <v>167.60349563294255</v>
      </c>
      <c r="X52" s="6">
        <f t="shared" si="118"/>
        <v>169.80504508353141</v>
      </c>
      <c r="Y52" s="6">
        <f t="shared" ref="Y52" si="119">(Y21/$B21)*100</f>
        <v>172.47597490566719</v>
      </c>
    </row>
    <row r="53" spans="1:25" x14ac:dyDescent="0.25">
      <c r="A53" s="420" t="str">
        <f>A47</f>
        <v>SSI</v>
      </c>
      <c r="B53" s="434">
        <f t="shared" ref="B53:R53" si="120">(B22/$B22)*100</f>
        <v>100</v>
      </c>
      <c r="C53" s="434">
        <f t="shared" si="120"/>
        <v>102.00336596284065</v>
      </c>
      <c r="D53" s="434">
        <f t="shared" si="120"/>
        <v>103.21255923618379</v>
      </c>
      <c r="E53" s="434">
        <f t="shared" si="120"/>
        <v>104.55651261121508</v>
      </c>
      <c r="F53" s="434">
        <f t="shared" si="120"/>
        <v>105.82427080093095</v>
      </c>
      <c r="G53" s="434">
        <f t="shared" si="120"/>
        <v>107.89714460569498</v>
      </c>
      <c r="H53" s="434">
        <f t="shared" si="120"/>
        <v>109.25903221982311</v>
      </c>
      <c r="I53" s="434">
        <f t="shared" si="120"/>
        <v>110.98882504389836</v>
      </c>
      <c r="J53" s="434">
        <f t="shared" si="120"/>
        <v>112.97020383225305</v>
      </c>
      <c r="K53" s="434">
        <f t="shared" si="120"/>
        <v>115.1643103791331</v>
      </c>
      <c r="L53" s="434">
        <f t="shared" si="120"/>
        <v>117.45574697034994</v>
      </c>
      <c r="M53" s="434">
        <f t="shared" si="120"/>
        <v>120.67797503189152</v>
      </c>
      <c r="N53" s="434">
        <f t="shared" si="120"/>
        <v>125.22749632956038</v>
      </c>
      <c r="O53" s="434">
        <f t="shared" si="120"/>
        <v>129.47375673673852</v>
      </c>
      <c r="P53" s="434">
        <f t="shared" si="120"/>
        <v>134.01334834270406</v>
      </c>
      <c r="Q53" s="434">
        <f t="shared" si="120"/>
        <v>138.59165511694653</v>
      </c>
      <c r="R53" s="434">
        <f t="shared" si="120"/>
        <v>143.03447325518599</v>
      </c>
      <c r="S53" s="434">
        <f t="shared" ref="S53:T53" si="121">(S22/$B22)*100</f>
        <v>146.55850057602345</v>
      </c>
      <c r="T53" s="434">
        <f t="shared" si="121"/>
        <v>143.30531066256373</v>
      </c>
      <c r="U53" s="434">
        <f t="shared" ref="U53:V53" si="122">(U22/$B22)*100</f>
        <v>146.89165186500887</v>
      </c>
      <c r="V53" s="434">
        <f t="shared" si="122"/>
        <v>149.61198209818437</v>
      </c>
      <c r="W53" s="434">
        <f t="shared" ref="W53:X53" si="123">(W22/$B22)*100</f>
        <v>150.49015187362136</v>
      </c>
      <c r="X53" s="434">
        <f t="shared" si="123"/>
        <v>143.44128664486863</v>
      </c>
      <c r="Y53" s="434">
        <f t="shared" ref="Y53" si="124">(Y22/$B22)*100</f>
        <v>139.37295010127272</v>
      </c>
    </row>
    <row r="54" spans="1:25" x14ac:dyDescent="0.25">
      <c r="C54" s="51">
        <f t="shared" ref="C54:R54" si="125">C52-B52</f>
        <v>2.761295581998823</v>
      </c>
      <c r="D54" s="51">
        <f t="shared" si="125"/>
        <v>2.6594633468806137</v>
      </c>
      <c r="E54" s="51">
        <f t="shared" si="125"/>
        <v>2.6135560506423445</v>
      </c>
      <c r="F54" s="51">
        <f t="shared" si="125"/>
        <v>2.2320439275009676</v>
      </c>
      <c r="G54" s="51">
        <f t="shared" si="125"/>
        <v>2.6439125434960289</v>
      </c>
      <c r="H54" s="51">
        <f t="shared" si="125"/>
        <v>2.5315383263140916</v>
      </c>
      <c r="I54" s="51">
        <f t="shared" si="125"/>
        <v>2.2495265077035214</v>
      </c>
      <c r="J54" s="51">
        <f t="shared" si="125"/>
        <v>2.4551917467870936</v>
      </c>
      <c r="K54" s="51">
        <f t="shared" si="125"/>
        <v>2.6714679599636497</v>
      </c>
      <c r="L54" s="51">
        <f t="shared" si="125"/>
        <v>2.7621786799727488</v>
      </c>
      <c r="M54" s="51">
        <f t="shared" si="125"/>
        <v>3.635410793720169</v>
      </c>
      <c r="N54" s="51">
        <f t="shared" si="125"/>
        <v>4.7542545314654774</v>
      </c>
      <c r="O54" s="51">
        <f t="shared" si="125"/>
        <v>4.7898544185393348</v>
      </c>
      <c r="P54" s="51">
        <f t="shared" si="125"/>
        <v>5.0412337761793538</v>
      </c>
      <c r="Q54" s="51">
        <f t="shared" si="125"/>
        <v>4.4514033174772294</v>
      </c>
      <c r="R54" s="51">
        <f t="shared" si="125"/>
        <v>4.4260770494610142</v>
      </c>
      <c r="S54" s="51">
        <f t="shared" ref="S54" si="126">S52-R52</f>
        <v>3.0806320884135516</v>
      </c>
      <c r="T54" s="51">
        <f t="shared" ref="T54:Y54" si="127">T52-S52</f>
        <v>3.5686955014713249</v>
      </c>
      <c r="U54" s="51">
        <f t="shared" si="127"/>
        <v>3.5927737196666101</v>
      </c>
      <c r="V54" s="51">
        <f t="shared" si="127"/>
        <v>3.2757001518100708</v>
      </c>
      <c r="W54" s="51">
        <f t="shared" si="127"/>
        <v>1.4072856134785354</v>
      </c>
      <c r="X54" s="51">
        <f t="shared" si="127"/>
        <v>2.2015494505888569</v>
      </c>
      <c r="Y54" s="51">
        <f t="shared" si="127"/>
        <v>2.6709298221357756</v>
      </c>
    </row>
    <row r="55" spans="1:25" ht="13" x14ac:dyDescent="0.3">
      <c r="A55" s="3" t="s">
        <v>5</v>
      </c>
      <c r="B55" s="399">
        <v>2000</v>
      </c>
      <c r="C55" s="399">
        <f t="shared" ref="C55:J55" si="128">B55+1</f>
        <v>2001</v>
      </c>
      <c r="D55" s="399">
        <f t="shared" si="128"/>
        <v>2002</v>
      </c>
      <c r="E55" s="399">
        <f t="shared" si="128"/>
        <v>2003</v>
      </c>
      <c r="F55" s="399">
        <f t="shared" si="128"/>
        <v>2004</v>
      </c>
      <c r="G55" s="399">
        <f t="shared" si="128"/>
        <v>2005</v>
      </c>
      <c r="H55" s="399">
        <f t="shared" si="128"/>
        <v>2006</v>
      </c>
      <c r="I55" s="399">
        <f t="shared" si="128"/>
        <v>2007</v>
      </c>
      <c r="J55" s="399">
        <f t="shared" si="128"/>
        <v>2008</v>
      </c>
      <c r="K55" s="399">
        <f t="shared" ref="K55:R55" si="129">J55+1</f>
        <v>2009</v>
      </c>
      <c r="L55" s="399">
        <f t="shared" si="129"/>
        <v>2010</v>
      </c>
      <c r="M55" s="399">
        <f t="shared" si="129"/>
        <v>2011</v>
      </c>
      <c r="N55" s="399">
        <f t="shared" si="129"/>
        <v>2012</v>
      </c>
      <c r="O55" s="399">
        <f t="shared" si="129"/>
        <v>2013</v>
      </c>
      <c r="P55" s="399">
        <f t="shared" si="129"/>
        <v>2014</v>
      </c>
      <c r="Q55" s="399">
        <f t="shared" si="129"/>
        <v>2015</v>
      </c>
      <c r="R55" s="399">
        <f t="shared" si="129"/>
        <v>2016</v>
      </c>
      <c r="S55" s="399">
        <f t="shared" ref="S55" si="130">R55+1</f>
        <v>2017</v>
      </c>
      <c r="T55" s="399">
        <f t="shared" ref="T55:U55" si="131">S55+1</f>
        <v>2018</v>
      </c>
      <c r="U55" s="399">
        <f t="shared" si="131"/>
        <v>2019</v>
      </c>
      <c r="V55" s="399">
        <v>2020</v>
      </c>
      <c r="W55" s="399">
        <v>2021</v>
      </c>
      <c r="X55" s="399">
        <v>2022</v>
      </c>
      <c r="Y55" s="399">
        <v>2023</v>
      </c>
    </row>
    <row r="56" spans="1:25" x14ac:dyDescent="0.25">
      <c r="A56" s="399" t="s">
        <v>0</v>
      </c>
      <c r="B56" s="2">
        <f t="shared" ref="B56:R56" si="132">(B38/$B38)*100</f>
        <v>100</v>
      </c>
      <c r="C56" s="2">
        <f t="shared" si="132"/>
        <v>98.9977918981985</v>
      </c>
      <c r="D56" s="2">
        <f t="shared" si="132"/>
        <v>99.790047755480941</v>
      </c>
      <c r="E56" s="2">
        <f t="shared" si="132"/>
        <v>92.071120093605188</v>
      </c>
      <c r="F56" s="2">
        <f t="shared" si="132"/>
        <v>94.724821829273097</v>
      </c>
      <c r="G56" s="2">
        <f t="shared" si="132"/>
        <v>95.538768356212884</v>
      </c>
      <c r="H56" s="2">
        <f t="shared" si="132"/>
        <v>96.198205929109278</v>
      </c>
      <c r="I56" s="2">
        <f t="shared" si="132"/>
        <v>96.374491675520019</v>
      </c>
      <c r="J56" s="2">
        <f t="shared" si="132"/>
        <v>95.856443944868303</v>
      </c>
      <c r="K56" s="2">
        <f t="shared" si="132"/>
        <v>95.108742255268197</v>
      </c>
      <c r="L56" s="2">
        <f t="shared" si="132"/>
        <v>95.079938283147953</v>
      </c>
      <c r="M56" s="2">
        <f t="shared" si="132"/>
        <v>99.694474624727789</v>
      </c>
      <c r="N56" s="2">
        <f t="shared" si="132"/>
        <v>100.63758400183606</v>
      </c>
      <c r="O56" s="2">
        <f t="shared" si="132"/>
        <v>100.55690131644323</v>
      </c>
      <c r="P56" s="2">
        <f t="shared" si="132"/>
        <v>99.173158075982343</v>
      </c>
      <c r="Q56" s="2">
        <f t="shared" si="132"/>
        <v>98.97494175214085</v>
      </c>
      <c r="R56" s="2">
        <f t="shared" si="132"/>
        <v>99.100293776540354</v>
      </c>
      <c r="S56" s="2">
        <f t="shared" ref="S56:T56" si="133">(S38/$B38)*100</f>
        <v>99.505585739842957</v>
      </c>
      <c r="T56" s="2">
        <f t="shared" si="133"/>
        <v>98.627517236570668</v>
      </c>
      <c r="U56" s="2">
        <f t="shared" ref="U56:V56" si="134">(U38/$B38)*100</f>
        <v>95.073595552476363</v>
      </c>
      <c r="V56" s="2">
        <f t="shared" si="134"/>
        <v>95.313896034840411</v>
      </c>
      <c r="W56" s="2">
        <f t="shared" ref="W56:X56" si="135">(W38/$B38)*100</f>
        <v>90.055047058771535</v>
      </c>
      <c r="X56" s="2">
        <f t="shared" si="135"/>
        <v>87.209589650057822</v>
      </c>
      <c r="Y56" s="2">
        <f t="shared" ref="Y56" si="136">(Y38/$B38)*100</f>
        <v>86.323740051814099</v>
      </c>
    </row>
    <row r="57" spans="1:25" x14ac:dyDescent="0.25">
      <c r="A57" s="399" t="s">
        <v>1</v>
      </c>
      <c r="B57" s="2">
        <f t="shared" ref="B57:R57" si="137">(B39/$B39)*100</f>
        <v>100</v>
      </c>
      <c r="C57" s="2">
        <f t="shared" si="137"/>
        <v>101.24243074306365</v>
      </c>
      <c r="D57" s="2">
        <f t="shared" si="137"/>
        <v>103.91507066268753</v>
      </c>
      <c r="E57" s="2">
        <f t="shared" si="137"/>
        <v>105.97986101253466</v>
      </c>
      <c r="F57" s="2">
        <f t="shared" si="137"/>
        <v>107.62489782626152</v>
      </c>
      <c r="G57" s="2">
        <f t="shared" si="137"/>
        <v>108.77432252965671</v>
      </c>
      <c r="H57" s="2">
        <f t="shared" si="137"/>
        <v>110.34580467488912</v>
      </c>
      <c r="I57" s="2">
        <f t="shared" si="137"/>
        <v>111.40247687234748</v>
      </c>
      <c r="J57" s="2">
        <f t="shared" si="137"/>
        <v>111.51237164144605</v>
      </c>
      <c r="K57" s="2">
        <f t="shared" si="137"/>
        <v>110.75180351280255</v>
      </c>
      <c r="L57" s="2">
        <f t="shared" si="137"/>
        <v>109.68171203951206</v>
      </c>
      <c r="M57" s="2">
        <f t="shared" si="137"/>
        <v>109.1860071674033</v>
      </c>
      <c r="N57" s="2">
        <f t="shared" si="137"/>
        <v>108.11831893231114</v>
      </c>
      <c r="O57" s="2">
        <f t="shared" si="137"/>
        <v>107.39833748961532</v>
      </c>
      <c r="P57" s="2">
        <f t="shared" si="137"/>
        <v>106.99634793115065</v>
      </c>
      <c r="Q57" s="2">
        <f t="shared" si="137"/>
        <v>106.39281947513579</v>
      </c>
      <c r="R57" s="2">
        <f t="shared" si="137"/>
        <v>105.20455411373402</v>
      </c>
      <c r="S57" s="2">
        <f t="shared" ref="S57:T57" si="138">(S39/$B39)*100</f>
        <v>103.56286028936283</v>
      </c>
      <c r="T57" s="2">
        <f t="shared" si="138"/>
        <v>102.12421524077917</v>
      </c>
      <c r="U57" s="2">
        <f t="shared" ref="U57:V57" si="139">(U39/$B39)*100</f>
        <v>100.95998666888049</v>
      </c>
      <c r="V57" s="2">
        <f t="shared" si="139"/>
        <v>99.32783400348913</v>
      </c>
      <c r="W57" s="2">
        <f t="shared" ref="W57:X57" si="140">(W39/$B39)*100</f>
        <v>96.807209030881722</v>
      </c>
      <c r="X57" s="2">
        <f t="shared" si="140"/>
        <v>94.771550186036663</v>
      </c>
      <c r="Y57" s="2">
        <f t="shared" ref="Y57" si="141">(Y39/$B39)*100</f>
        <v>93.453940914444345</v>
      </c>
    </row>
    <row r="58" spans="1:25" s="7" customFormat="1" x14ac:dyDescent="0.25">
      <c r="A58" s="401" t="s">
        <v>2</v>
      </c>
      <c r="B58" s="6">
        <f t="shared" ref="B58:R58" si="142">(B37/$B37)*100</f>
        <v>100</v>
      </c>
      <c r="C58" s="6">
        <f t="shared" si="142"/>
        <v>100.23445454021331</v>
      </c>
      <c r="D58" s="6">
        <f t="shared" si="142"/>
        <v>98.465019198547481</v>
      </c>
      <c r="E58" s="6">
        <f t="shared" si="142"/>
        <v>84.889004979900918</v>
      </c>
      <c r="F58" s="6">
        <f t="shared" si="142"/>
        <v>86.224672578673051</v>
      </c>
      <c r="G58" s="6">
        <f t="shared" si="142"/>
        <v>87.913480619377239</v>
      </c>
      <c r="H58" s="6">
        <f t="shared" si="142"/>
        <v>90.095737643082771</v>
      </c>
      <c r="I58" s="6">
        <f t="shared" si="142"/>
        <v>91.417523737249368</v>
      </c>
      <c r="J58" s="6">
        <f t="shared" si="142"/>
        <v>90.349945892249039</v>
      </c>
      <c r="K58" s="6">
        <f t="shared" si="142"/>
        <v>91.883120010653997</v>
      </c>
      <c r="L58" s="6">
        <f t="shared" si="142"/>
        <v>92.570601640993871</v>
      </c>
      <c r="M58" s="6">
        <f t="shared" si="142"/>
        <v>94.77674704093279</v>
      </c>
      <c r="N58" s="6">
        <f t="shared" si="142"/>
        <v>97.998784424534946</v>
      </c>
      <c r="O58" s="6">
        <f t="shared" si="142"/>
        <v>101.20191768116244</v>
      </c>
      <c r="P58" s="6">
        <f t="shared" si="142"/>
        <v>104.64167211133642</v>
      </c>
      <c r="Q58" s="6">
        <f t="shared" si="142"/>
        <v>104.05238336869147</v>
      </c>
      <c r="R58" s="6">
        <f t="shared" si="142"/>
        <v>106.77951467785201</v>
      </c>
      <c r="S58" s="6">
        <f t="shared" ref="S58:T58" si="143">(S37/$B37)*100</f>
        <v>105.99863789128798</v>
      </c>
      <c r="T58" s="6">
        <f t="shared" si="143"/>
        <v>106.97940541457027</v>
      </c>
      <c r="U58" s="6">
        <f t="shared" ref="U58:V58" si="144">(U37/$B37)*100</f>
        <v>108.11021353828593</v>
      </c>
      <c r="V58" s="6">
        <f t="shared" si="144"/>
        <v>111.74098966591532</v>
      </c>
      <c r="W58" s="6">
        <f t="shared" ref="W58:X58" si="145">(W37/$B37)*100</f>
        <v>107.3221396069371</v>
      </c>
      <c r="X58" s="6">
        <f t="shared" si="145"/>
        <v>107.68427092348925</v>
      </c>
      <c r="Y58" s="6">
        <f t="shared" ref="Y58" si="146">(Y37/$B37)*100</f>
        <v>108.17274208888681</v>
      </c>
    </row>
    <row r="59" spans="1:25" x14ac:dyDescent="0.25">
      <c r="A59" s="420" t="str">
        <f>A53</f>
        <v>SSI</v>
      </c>
      <c r="B59" s="434">
        <f t="shared" ref="B59:R59" si="147">(B40/$B40)*100</f>
        <v>100</v>
      </c>
      <c r="C59" s="434">
        <f t="shared" si="147"/>
        <v>100.57313400871561</v>
      </c>
      <c r="D59" s="434">
        <f t="shared" si="147"/>
        <v>102.0858300257522</v>
      </c>
      <c r="E59" s="434">
        <f t="shared" si="147"/>
        <v>100.4438580941823</v>
      </c>
      <c r="F59" s="434">
        <f t="shared" si="147"/>
        <v>98.057339720669049</v>
      </c>
      <c r="G59" s="434">
        <f t="shared" si="147"/>
        <v>96.355659044342559</v>
      </c>
      <c r="H59" s="434">
        <f t="shared" si="147"/>
        <v>98.958166592262373</v>
      </c>
      <c r="I59" s="434">
        <f t="shared" si="147"/>
        <v>97.032117737407233</v>
      </c>
      <c r="J59" s="434">
        <f t="shared" si="147"/>
        <v>93.695338379425394</v>
      </c>
      <c r="K59" s="434">
        <f t="shared" si="147"/>
        <v>95.44521981608554</v>
      </c>
      <c r="L59" s="434">
        <f t="shared" si="147"/>
        <v>90.927270895911064</v>
      </c>
      <c r="M59" s="434">
        <f t="shared" si="147"/>
        <v>89.523619653660873</v>
      </c>
      <c r="N59" s="434">
        <f t="shared" si="147"/>
        <v>94.956314747353375</v>
      </c>
      <c r="O59" s="434">
        <f t="shared" si="147"/>
        <v>98.729895955915254</v>
      </c>
      <c r="P59" s="434">
        <f t="shared" si="147"/>
        <v>105.04472230574898</v>
      </c>
      <c r="Q59" s="434">
        <f t="shared" si="147"/>
        <v>110.59309508363957</v>
      </c>
      <c r="R59" s="434">
        <f t="shared" si="147"/>
        <v>103.53148288127814</v>
      </c>
      <c r="S59" s="434">
        <f t="shared" ref="S59:T59" si="148">(S40/$B40)*100</f>
        <v>96.852102451008975</v>
      </c>
      <c r="T59" s="434">
        <f t="shared" si="148"/>
        <v>90.972102213439072</v>
      </c>
      <c r="U59" s="434">
        <f t="shared" ref="U59:V59" si="149">(U40/$B40)*100</f>
        <v>81.781596862995201</v>
      </c>
      <c r="V59" s="434">
        <f t="shared" si="149"/>
        <v>76.591145589116309</v>
      </c>
      <c r="W59" s="434">
        <f t="shared" ref="W59:X59" si="150">(W40/$B40)*100</f>
        <v>68.432681175397917</v>
      </c>
      <c r="X59" s="434">
        <f t="shared" si="150"/>
        <v>60.985060998455452</v>
      </c>
      <c r="Y59" s="434">
        <f t="shared" ref="Y59" si="151">(Y40/$B40)*100</f>
        <v>56.498128921931759</v>
      </c>
    </row>
    <row r="60" spans="1:2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5" ht="13" x14ac:dyDescent="0.3">
      <c r="A61" s="3" t="s">
        <v>3</v>
      </c>
      <c r="B61" s="399">
        <v>2000</v>
      </c>
      <c r="C61" s="399">
        <f t="shared" ref="C61:J61" si="152">+B61+1</f>
        <v>2001</v>
      </c>
      <c r="D61" s="399">
        <f t="shared" si="152"/>
        <v>2002</v>
      </c>
      <c r="E61" s="399">
        <f t="shared" si="152"/>
        <v>2003</v>
      </c>
      <c r="F61" s="399">
        <f t="shared" si="152"/>
        <v>2004</v>
      </c>
      <c r="G61" s="399">
        <f t="shared" si="152"/>
        <v>2005</v>
      </c>
      <c r="H61" s="399">
        <f t="shared" si="152"/>
        <v>2006</v>
      </c>
      <c r="I61" s="399">
        <f t="shared" si="152"/>
        <v>2007</v>
      </c>
      <c r="J61" s="399">
        <f t="shared" si="152"/>
        <v>2008</v>
      </c>
      <c r="K61" s="399">
        <f t="shared" ref="K61:R61" si="153">+J61+1</f>
        <v>2009</v>
      </c>
      <c r="L61" s="399">
        <f t="shared" si="153"/>
        <v>2010</v>
      </c>
      <c r="M61" s="399">
        <f t="shared" si="153"/>
        <v>2011</v>
      </c>
      <c r="N61" s="399">
        <f t="shared" si="153"/>
        <v>2012</v>
      </c>
      <c r="O61" s="399">
        <f t="shared" si="153"/>
        <v>2013</v>
      </c>
      <c r="P61" s="399">
        <f t="shared" si="153"/>
        <v>2014</v>
      </c>
      <c r="Q61" s="399">
        <f t="shared" si="153"/>
        <v>2015</v>
      </c>
      <c r="R61" s="399">
        <f t="shared" si="153"/>
        <v>2016</v>
      </c>
      <c r="S61" s="399">
        <f t="shared" ref="S61" si="154">+R61+1</f>
        <v>2017</v>
      </c>
      <c r="T61" s="399">
        <f t="shared" ref="T61:U61" si="155">+S61+1</f>
        <v>2018</v>
      </c>
      <c r="U61" s="399">
        <f t="shared" si="155"/>
        <v>2019</v>
      </c>
      <c r="V61" s="399">
        <v>2020</v>
      </c>
      <c r="W61" s="399">
        <v>2021</v>
      </c>
      <c r="X61" s="399">
        <v>2022</v>
      </c>
      <c r="Y61" s="399">
        <v>2023</v>
      </c>
    </row>
    <row r="62" spans="1:25" x14ac:dyDescent="0.25">
      <c r="A62" s="399" t="s">
        <v>0</v>
      </c>
      <c r="B62" s="2">
        <f t="shared" ref="B62:R62" si="156">B$4/B2</f>
        <v>23.371262996213908</v>
      </c>
      <c r="C62" s="2">
        <f t="shared" si="156"/>
        <v>23.351301788176254</v>
      </c>
      <c r="D62" s="2">
        <f t="shared" si="156"/>
        <v>24.312614453518059</v>
      </c>
      <c r="E62" s="2">
        <f t="shared" si="156"/>
        <v>26.365483945974496</v>
      </c>
      <c r="F62" s="2">
        <f t="shared" si="156"/>
        <v>27.168683367216843</v>
      </c>
      <c r="G62" s="2">
        <f t="shared" si="156"/>
        <v>27.374517230364603</v>
      </c>
      <c r="H62" s="2">
        <f t="shared" si="156"/>
        <v>27.609021063873808</v>
      </c>
      <c r="I62" s="2">
        <f t="shared" si="156"/>
        <v>27.886191520786287</v>
      </c>
      <c r="J62" s="2">
        <f t="shared" si="156"/>
        <v>28.776812176127613</v>
      </c>
      <c r="K62" s="2">
        <f t="shared" si="156"/>
        <v>28.779114328582125</v>
      </c>
      <c r="L62" s="2">
        <f t="shared" si="156"/>
        <v>29.457488456960952</v>
      </c>
      <c r="M62" s="2">
        <f t="shared" si="156"/>
        <v>30.707481468619481</v>
      </c>
      <c r="N62" s="2">
        <f t="shared" si="156"/>
        <v>30.832052780903357</v>
      </c>
      <c r="O62" s="2">
        <f t="shared" si="156"/>
        <v>30.564215738734806</v>
      </c>
      <c r="P62" s="2">
        <f t="shared" si="156"/>
        <v>29.701953723685445</v>
      </c>
      <c r="Q62" s="2">
        <f t="shared" si="156"/>
        <v>30.334778152565175</v>
      </c>
      <c r="R62" s="2">
        <f t="shared" si="156"/>
        <v>30.047185245374184</v>
      </c>
      <c r="S62" s="2">
        <f t="shared" ref="S62:T62" si="157">S$4/S2</f>
        <v>30.731210296515997</v>
      </c>
      <c r="T62" s="2">
        <f t="shared" si="157"/>
        <v>30.495887826878242</v>
      </c>
      <c r="U62" s="2">
        <f t="shared" ref="U62:V62" si="158">U$4/U2</f>
        <v>29.469385450762477</v>
      </c>
      <c r="V62" s="2">
        <f t="shared" si="158"/>
        <v>29.012594439312064</v>
      </c>
      <c r="W62" s="2">
        <f t="shared" ref="W62:X62" si="159">W$4/W2</f>
        <v>29.301892878880096</v>
      </c>
      <c r="X62" s="2">
        <f t="shared" si="159"/>
        <v>29.068288529201418</v>
      </c>
      <c r="Y62" s="2">
        <f t="shared" ref="Y62" si="160">Y$4/Y2</f>
        <v>29.710520684865433</v>
      </c>
    </row>
    <row r="63" spans="1:25" x14ac:dyDescent="0.25">
      <c r="A63" s="399" t="s">
        <v>1</v>
      </c>
      <c r="B63" s="2">
        <f t="shared" ref="B63:R63" si="161">B$4/B3</f>
        <v>22.436378457059678</v>
      </c>
      <c r="C63" s="2">
        <f t="shared" si="161"/>
        <v>23.3627980898594</v>
      </c>
      <c r="D63" s="2">
        <f t="shared" si="161"/>
        <v>25.171633834397237</v>
      </c>
      <c r="E63" s="2">
        <f t="shared" si="161"/>
        <v>30.806471167451626</v>
      </c>
      <c r="F63" s="2">
        <f t="shared" si="161"/>
        <v>31.694125232541875</v>
      </c>
      <c r="G63" s="2">
        <f t="shared" si="161"/>
        <v>32.642750198694714</v>
      </c>
      <c r="H63" s="2">
        <f t="shared" si="161"/>
        <v>33.79394140575539</v>
      </c>
      <c r="I63" s="2">
        <f t="shared" si="161"/>
        <v>35.03307734406723</v>
      </c>
      <c r="J63" s="2">
        <f t="shared" si="161"/>
        <v>37.123517340930533</v>
      </c>
      <c r="K63" s="2">
        <f t="shared" si="161"/>
        <v>38.351395325753032</v>
      </c>
      <c r="L63" s="2">
        <f t="shared" si="161"/>
        <v>39.574481159380149</v>
      </c>
      <c r="M63" s="2">
        <f t="shared" si="161"/>
        <v>40.530757762489706</v>
      </c>
      <c r="N63" s="2">
        <f t="shared" si="161"/>
        <v>41.068281084030914</v>
      </c>
      <c r="O63" s="2">
        <f t="shared" si="161"/>
        <v>41.89038076549523</v>
      </c>
      <c r="P63" s="2">
        <f t="shared" si="161"/>
        <v>42.730929220142585</v>
      </c>
      <c r="Q63" s="2">
        <f t="shared" si="161"/>
        <v>45.240460122446628</v>
      </c>
      <c r="R63" s="2">
        <f t="shared" si="161"/>
        <v>46.146760944988728</v>
      </c>
      <c r="S63" s="2">
        <f t="shared" ref="S63:T63" si="162">S$4/S3</f>
        <v>48.206238161115252</v>
      </c>
      <c r="T63" s="2">
        <f t="shared" si="162"/>
        <v>49.835202097937014</v>
      </c>
      <c r="U63" s="2">
        <f t="shared" ref="U63:V63" si="163">U$4/U3</f>
        <v>51.57078662661489</v>
      </c>
      <c r="V63" s="2">
        <f t="shared" si="163"/>
        <v>51.746623840661982</v>
      </c>
      <c r="W63" s="2">
        <f t="shared" ref="W63:X63" si="164">W$4/W3</f>
        <v>55.100809635972837</v>
      </c>
      <c r="X63" s="2">
        <f t="shared" si="164"/>
        <v>56.514196163048354</v>
      </c>
      <c r="Y63" s="2">
        <f t="shared" ref="Y63" si="165">Y$4/Y3</f>
        <v>58.323733153606831</v>
      </c>
    </row>
    <row r="64" spans="1:25" x14ac:dyDescent="0.25">
      <c r="A64" s="399" t="s">
        <v>2</v>
      </c>
      <c r="B64" s="2">
        <f t="shared" ref="B64:R64" si="166">B$4/B4</f>
        <v>1</v>
      </c>
      <c r="C64" s="2">
        <f t="shared" si="166"/>
        <v>1</v>
      </c>
      <c r="D64" s="2">
        <f t="shared" si="166"/>
        <v>1</v>
      </c>
      <c r="E64" s="2">
        <f t="shared" si="166"/>
        <v>1</v>
      </c>
      <c r="F64" s="2">
        <f t="shared" si="166"/>
        <v>1</v>
      </c>
      <c r="G64" s="2">
        <f t="shared" si="166"/>
        <v>1</v>
      </c>
      <c r="H64" s="2">
        <f t="shared" si="166"/>
        <v>1</v>
      </c>
      <c r="I64" s="2">
        <f t="shared" si="166"/>
        <v>1</v>
      </c>
      <c r="J64" s="2">
        <f t="shared" si="166"/>
        <v>1</v>
      </c>
      <c r="K64" s="2">
        <f t="shared" si="166"/>
        <v>1</v>
      </c>
      <c r="L64" s="2">
        <f t="shared" si="166"/>
        <v>1</v>
      </c>
      <c r="M64" s="2">
        <f t="shared" si="166"/>
        <v>1</v>
      </c>
      <c r="N64" s="2">
        <f t="shared" si="166"/>
        <v>1</v>
      </c>
      <c r="O64" s="2">
        <f t="shared" si="166"/>
        <v>1</v>
      </c>
      <c r="P64" s="2">
        <f t="shared" si="166"/>
        <v>1</v>
      </c>
      <c r="Q64" s="2">
        <f t="shared" si="166"/>
        <v>1</v>
      </c>
      <c r="R64" s="2">
        <f t="shared" si="166"/>
        <v>1</v>
      </c>
      <c r="S64" s="2">
        <f t="shared" ref="S64:T64" si="167">S$4/S4</f>
        <v>1</v>
      </c>
      <c r="T64" s="2">
        <f t="shared" si="167"/>
        <v>1</v>
      </c>
      <c r="U64" s="2">
        <f t="shared" ref="U64:V64" si="168">U$4/U4</f>
        <v>1</v>
      </c>
      <c r="V64" s="2">
        <f t="shared" si="168"/>
        <v>1</v>
      </c>
      <c r="W64" s="2">
        <f t="shared" ref="W64:X64" si="169">W$4/W4</f>
        <v>1</v>
      </c>
      <c r="X64" s="2">
        <f t="shared" si="169"/>
        <v>1</v>
      </c>
      <c r="Y64" s="2">
        <f t="shared" ref="Y64" si="170">Y$4/Y4</f>
        <v>1</v>
      </c>
    </row>
    <row r="65" spans="1:25" x14ac:dyDescent="0.25">
      <c r="A65" s="420" t="str">
        <f>A59</f>
        <v>SSI</v>
      </c>
      <c r="B65" s="434">
        <f t="shared" ref="B65:R65" si="171">B$4/B5</f>
        <v>13.846916472698819</v>
      </c>
      <c r="C65" s="434">
        <f t="shared" si="171"/>
        <v>13.996939734469928</v>
      </c>
      <c r="D65" s="434">
        <f t="shared" si="171"/>
        <v>14.663247272407398</v>
      </c>
      <c r="E65" s="434">
        <f t="shared" si="171"/>
        <v>16.929169309635075</v>
      </c>
      <c r="F65" s="434">
        <f t="shared" si="171"/>
        <v>16.408140824154604</v>
      </c>
      <c r="G65" s="434">
        <f t="shared" si="171"/>
        <v>15.881748845358691</v>
      </c>
      <c r="H65" s="434">
        <f t="shared" si="171"/>
        <v>16.069643596692998</v>
      </c>
      <c r="I65" s="434">
        <f t="shared" si="171"/>
        <v>15.584912536156931</v>
      </c>
      <c r="J65" s="434">
        <f t="shared" si="171"/>
        <v>15.271808600205341</v>
      </c>
      <c r="K65" s="434">
        <f t="shared" si="171"/>
        <v>15.339655864571673</v>
      </c>
      <c r="L65" s="434">
        <f t="shared" si="171"/>
        <v>14.541893312025435</v>
      </c>
      <c r="M65" s="434">
        <f t="shared" si="171"/>
        <v>14.004763937954483</v>
      </c>
      <c r="N65" s="434">
        <f t="shared" si="171"/>
        <v>14.353690444482742</v>
      </c>
      <c r="O65" s="434">
        <f t="shared" si="171"/>
        <v>14.477534051200621</v>
      </c>
      <c r="P65" s="434">
        <f t="shared" si="171"/>
        <v>14.91544688998315</v>
      </c>
      <c r="Q65" s="434">
        <f t="shared" si="171"/>
        <v>15.743217785016473</v>
      </c>
      <c r="R65" s="434">
        <f t="shared" si="171"/>
        <v>14.330933071849186</v>
      </c>
      <c r="S65" s="434">
        <f t="shared" ref="S65:T65" si="172">S$4/S5</f>
        <v>13.446340083504952</v>
      </c>
      <c r="T65" s="434">
        <f t="shared" si="172"/>
        <v>13.091524528676336</v>
      </c>
      <c r="U65" s="434">
        <f t="shared" ref="U65:V65" si="173">U$4/U5</f>
        <v>11.617711284230406</v>
      </c>
      <c r="V65" s="434">
        <f t="shared" si="173"/>
        <v>10.543234438177651</v>
      </c>
      <c r="W65" s="434">
        <f t="shared" ref="W65:X65" si="174">W$4/W5</f>
        <v>9.8333681244768556</v>
      </c>
      <c r="X65" s="434">
        <f t="shared" si="174"/>
        <v>9.2832635532608716</v>
      </c>
      <c r="Y65" s="434">
        <f t="shared" ref="Y65" si="175">Y$4/Y5</f>
        <v>8.9499253824287095</v>
      </c>
    </row>
    <row r="67" spans="1:25" ht="13" x14ac:dyDescent="0.3">
      <c r="A67" s="3" t="s">
        <v>4</v>
      </c>
      <c r="B67" s="399">
        <v>2000</v>
      </c>
      <c r="C67" s="399">
        <f t="shared" ref="C67:J67" si="176">+B67+1</f>
        <v>2001</v>
      </c>
      <c r="D67" s="399">
        <f t="shared" si="176"/>
        <v>2002</v>
      </c>
      <c r="E67" s="399">
        <f t="shared" si="176"/>
        <v>2003</v>
      </c>
      <c r="F67" s="399">
        <f t="shared" si="176"/>
        <v>2004</v>
      </c>
      <c r="G67" s="399">
        <f t="shared" si="176"/>
        <v>2005</v>
      </c>
      <c r="H67" s="399">
        <f t="shared" si="176"/>
        <v>2006</v>
      </c>
      <c r="I67" s="399">
        <f t="shared" si="176"/>
        <v>2007</v>
      </c>
      <c r="J67" s="399">
        <f t="shared" si="176"/>
        <v>2008</v>
      </c>
      <c r="K67" s="399">
        <f t="shared" ref="K67:R67" si="177">+J67+1</f>
        <v>2009</v>
      </c>
      <c r="L67" s="399">
        <f t="shared" si="177"/>
        <v>2010</v>
      </c>
      <c r="M67" s="399">
        <f t="shared" si="177"/>
        <v>2011</v>
      </c>
      <c r="N67" s="399">
        <f t="shared" si="177"/>
        <v>2012</v>
      </c>
      <c r="O67" s="399">
        <f t="shared" si="177"/>
        <v>2013</v>
      </c>
      <c r="P67" s="399">
        <f t="shared" si="177"/>
        <v>2014</v>
      </c>
      <c r="Q67" s="399">
        <f t="shared" si="177"/>
        <v>2015</v>
      </c>
      <c r="R67" s="399">
        <f t="shared" si="177"/>
        <v>2016</v>
      </c>
      <c r="S67" s="399">
        <f t="shared" ref="S67" si="178">+R67+1</f>
        <v>2017</v>
      </c>
      <c r="T67" s="399">
        <f t="shared" ref="T67:U67" si="179">+S67+1</f>
        <v>2018</v>
      </c>
      <c r="U67" s="399">
        <f t="shared" si="179"/>
        <v>2019</v>
      </c>
      <c r="V67" s="399">
        <v>2020</v>
      </c>
      <c r="W67" s="399">
        <v>2021</v>
      </c>
      <c r="X67" s="399">
        <v>2022</v>
      </c>
      <c r="Y67" s="399">
        <v>2023</v>
      </c>
    </row>
    <row r="68" spans="1:25" x14ac:dyDescent="0.25">
      <c r="A68" s="399" t="s">
        <v>0</v>
      </c>
      <c r="B68" s="2">
        <f t="shared" ref="B68:R68" si="180">B$21/B19</f>
        <v>4.8390798074040342</v>
      </c>
      <c r="C68" s="2">
        <f t="shared" si="180"/>
        <v>4.895344075398226</v>
      </c>
      <c r="D68" s="2">
        <f t="shared" si="180"/>
        <v>4.9671469066132685</v>
      </c>
      <c r="E68" s="2">
        <f t="shared" si="180"/>
        <v>5.0332020627861498</v>
      </c>
      <c r="F68" s="2">
        <f t="shared" si="180"/>
        <v>5.1205540105855363</v>
      </c>
      <c r="G68" s="2">
        <f t="shared" si="180"/>
        <v>5.2155835563631872</v>
      </c>
      <c r="H68" s="2">
        <f t="shared" si="180"/>
        <v>5.3538830829167905</v>
      </c>
      <c r="I68" s="2">
        <f t="shared" si="180"/>
        <v>5.4769296266282756</v>
      </c>
      <c r="J68" s="2">
        <f t="shared" si="180"/>
        <v>5.6160357990778049</v>
      </c>
      <c r="K68" s="2">
        <f t="shared" si="180"/>
        <v>5.7566963462833218</v>
      </c>
      <c r="L68" s="2">
        <f t="shared" si="180"/>
        <v>5.9382778397635407</v>
      </c>
      <c r="M68" s="2">
        <f t="shared" si="180"/>
        <v>6.0444321950426065</v>
      </c>
      <c r="N68" s="2">
        <f t="shared" si="180"/>
        <v>6.2164655248032279</v>
      </c>
      <c r="O68" s="2">
        <f t="shared" si="180"/>
        <v>6.3689922244959094</v>
      </c>
      <c r="P68" s="2">
        <f t="shared" si="180"/>
        <v>6.4889756861748857</v>
      </c>
      <c r="Q68" s="2">
        <f t="shared" si="180"/>
        <v>6.6031049927415584</v>
      </c>
      <c r="R68" s="2">
        <f t="shared" si="180"/>
        <v>6.7034349184193243</v>
      </c>
      <c r="S68" s="2">
        <f t="shared" ref="S68:T68" si="181">S$21/S19</f>
        <v>6.7781798901386594</v>
      </c>
      <c r="T68" s="2">
        <f t="shared" si="181"/>
        <v>6.8489494793958929</v>
      </c>
      <c r="U68" s="2">
        <f t="shared" ref="U68:V68" si="182">U$21/U19</f>
        <v>6.9383864922628327</v>
      </c>
      <c r="V68" s="2">
        <f t="shared" si="182"/>
        <v>7.0424449478040518</v>
      </c>
      <c r="W68" s="2">
        <f t="shared" ref="W68:X68" si="183">W$21/W19</f>
        <v>7.2303204081547614</v>
      </c>
      <c r="X68" s="2">
        <f t="shared" si="183"/>
        <v>7.4316986915860763</v>
      </c>
      <c r="Y68" s="2">
        <f t="shared" ref="Y68" si="184">Y$21/Y19</f>
        <v>7.7086522735514169</v>
      </c>
    </row>
    <row r="69" spans="1:25" x14ac:dyDescent="0.25">
      <c r="A69" s="399" t="s">
        <v>1</v>
      </c>
      <c r="B69" s="2">
        <f t="shared" ref="B69:R69" si="185">B$21/B20</f>
        <v>4.1996863801360176</v>
      </c>
      <c r="C69" s="2">
        <f t="shared" si="185"/>
        <v>4.3295566456641827</v>
      </c>
      <c r="D69" s="2">
        <f t="shared" si="185"/>
        <v>4.4645628478047579</v>
      </c>
      <c r="E69" s="2">
        <f t="shared" si="185"/>
        <v>4.6188531384043428</v>
      </c>
      <c r="F69" s="2">
        <f t="shared" si="185"/>
        <v>4.7529328007384635</v>
      </c>
      <c r="G69" s="2">
        <f t="shared" si="185"/>
        <v>4.9383279984164226</v>
      </c>
      <c r="H69" s="2">
        <f t="shared" si="185"/>
        <v>5.1647745512013232</v>
      </c>
      <c r="I69" s="2">
        <f t="shared" si="185"/>
        <v>5.381173526877026</v>
      </c>
      <c r="J69" s="2">
        <f t="shared" si="185"/>
        <v>5.6301253563574694</v>
      </c>
      <c r="K69" s="2">
        <f t="shared" si="185"/>
        <v>5.955664144570445</v>
      </c>
      <c r="L69" s="2">
        <f t="shared" si="185"/>
        <v>6.2519888961171448</v>
      </c>
      <c r="M69" s="2">
        <f t="shared" si="185"/>
        <v>6.5854224551321403</v>
      </c>
      <c r="N69" s="2">
        <f t="shared" si="185"/>
        <v>6.9677415419327664</v>
      </c>
      <c r="O69" s="2">
        <f t="shared" si="185"/>
        <v>7.388726551610886</v>
      </c>
      <c r="P69" s="2">
        <f t="shared" si="185"/>
        <v>7.8224384788311632</v>
      </c>
      <c r="Q69" s="2">
        <f t="shared" si="185"/>
        <v>8.2819161713128437</v>
      </c>
      <c r="R69" s="2">
        <f t="shared" si="185"/>
        <v>8.7671558820336752</v>
      </c>
      <c r="S69" s="2">
        <f t="shared" ref="S69:T69" si="186">S$21/S20</f>
        <v>9.2355676243524254</v>
      </c>
      <c r="T69" s="2">
        <f t="shared" si="186"/>
        <v>9.7717370975453921</v>
      </c>
      <c r="U69" s="2">
        <f t="shared" ref="U69:V69" si="187">U$21/U20</f>
        <v>10.336780620021344</v>
      </c>
      <c r="V69" s="2">
        <f t="shared" si="187"/>
        <v>10.896516254403535</v>
      </c>
      <c r="W69" s="2">
        <f t="shared" ref="W69:X69" si="188">W$21/W20</f>
        <v>11.434145276134606</v>
      </c>
      <c r="X69" s="2">
        <f t="shared" si="188"/>
        <v>12.0197641198447</v>
      </c>
      <c r="Y69" s="2">
        <f t="shared" ref="Y69" si="189">Y$21/Y20</f>
        <v>12.636582461219934</v>
      </c>
    </row>
    <row r="70" spans="1:25" x14ac:dyDescent="0.25">
      <c r="A70" s="399" t="s">
        <v>2</v>
      </c>
      <c r="B70" s="2">
        <f t="shared" ref="B70:R70" si="190">B$21/B21</f>
        <v>1</v>
      </c>
      <c r="C70" s="2">
        <f t="shared" si="190"/>
        <v>1</v>
      </c>
      <c r="D70" s="2">
        <f t="shared" si="190"/>
        <v>1</v>
      </c>
      <c r="E70" s="2">
        <f t="shared" si="190"/>
        <v>1</v>
      </c>
      <c r="F70" s="2">
        <f t="shared" si="190"/>
        <v>1</v>
      </c>
      <c r="G70" s="2">
        <f t="shared" si="190"/>
        <v>1</v>
      </c>
      <c r="H70" s="2">
        <f t="shared" si="190"/>
        <v>1</v>
      </c>
      <c r="I70" s="2">
        <f t="shared" si="190"/>
        <v>1</v>
      </c>
      <c r="J70" s="2">
        <f t="shared" si="190"/>
        <v>1</v>
      </c>
      <c r="K70" s="2">
        <f t="shared" si="190"/>
        <v>1</v>
      </c>
      <c r="L70" s="2">
        <f t="shared" si="190"/>
        <v>1</v>
      </c>
      <c r="M70" s="2">
        <f t="shared" si="190"/>
        <v>1</v>
      </c>
      <c r="N70" s="2">
        <f t="shared" si="190"/>
        <v>1</v>
      </c>
      <c r="O70" s="2">
        <f t="shared" si="190"/>
        <v>1</v>
      </c>
      <c r="P70" s="2">
        <f t="shared" si="190"/>
        <v>1</v>
      </c>
      <c r="Q70" s="2">
        <f t="shared" si="190"/>
        <v>1</v>
      </c>
      <c r="R70" s="2">
        <f t="shared" si="190"/>
        <v>1</v>
      </c>
      <c r="S70" s="2">
        <f t="shared" ref="S70:T70" si="191">S$21/S21</f>
        <v>1</v>
      </c>
      <c r="T70" s="2">
        <f t="shared" si="191"/>
        <v>1</v>
      </c>
      <c r="U70" s="2">
        <f t="shared" ref="U70:V70" si="192">U$21/U21</f>
        <v>1</v>
      </c>
      <c r="V70" s="2">
        <f t="shared" si="192"/>
        <v>1</v>
      </c>
      <c r="W70" s="2">
        <f t="shared" ref="W70:X70" si="193">W$21/W21</f>
        <v>1</v>
      </c>
      <c r="X70" s="2">
        <f t="shared" si="193"/>
        <v>1</v>
      </c>
      <c r="Y70" s="2">
        <f t="shared" ref="Y70" si="194">Y$21/Y21</f>
        <v>1</v>
      </c>
    </row>
    <row r="71" spans="1:25" x14ac:dyDescent="0.25">
      <c r="A71" s="420" t="str">
        <f>A65</f>
        <v>SSI</v>
      </c>
      <c r="B71" s="434">
        <f t="shared" ref="B71:R71" si="195">B$21/B22</f>
        <v>7.3431225232765147</v>
      </c>
      <c r="C71" s="434">
        <f t="shared" si="195"/>
        <v>7.3976851350586212</v>
      </c>
      <c r="D71" s="434">
        <f t="shared" si="195"/>
        <v>7.5002262809909244</v>
      </c>
      <c r="E71" s="434">
        <f t="shared" si="195"/>
        <v>7.587372529942078</v>
      </c>
      <c r="F71" s="434">
        <f t="shared" si="195"/>
        <v>7.651358025164182</v>
      </c>
      <c r="G71" s="434">
        <f t="shared" si="195"/>
        <v>7.6842993429300419</v>
      </c>
      <c r="H71" s="434">
        <f t="shared" si="195"/>
        <v>7.7586569849395355</v>
      </c>
      <c r="I71" s="434">
        <f t="shared" si="195"/>
        <v>7.7865668180888665</v>
      </c>
      <c r="J71" s="434">
        <f t="shared" si="195"/>
        <v>7.8095873615517153</v>
      </c>
      <c r="K71" s="434">
        <f t="shared" si="195"/>
        <v>7.831137872994347</v>
      </c>
      <c r="L71" s="434">
        <f t="shared" si="195"/>
        <v>7.8510471636463341</v>
      </c>
      <c r="M71" s="434">
        <f t="shared" si="195"/>
        <v>7.8626267613083929</v>
      </c>
      <c r="N71" s="434">
        <f t="shared" si="195"/>
        <v>7.8557583466230394</v>
      </c>
      <c r="O71" s="434">
        <f t="shared" si="195"/>
        <v>7.8697757990713919</v>
      </c>
      <c r="P71" s="434">
        <f t="shared" si="195"/>
        <v>7.8794228166607443</v>
      </c>
      <c r="Q71" s="434">
        <f t="shared" si="195"/>
        <v>7.854982565225507</v>
      </c>
      <c r="R71" s="434">
        <f t="shared" si="195"/>
        <v>7.8382241370638743</v>
      </c>
      <c r="S71" s="434">
        <f t="shared" ref="S71:T71" si="196">S$21/S22</f>
        <v>7.8041035837568433</v>
      </c>
      <c r="T71" s="434">
        <f t="shared" si="196"/>
        <v>8.1641293158061448</v>
      </c>
      <c r="U71" s="434">
        <f t="shared" ref="U71:V71" si="197">U$21/U22</f>
        <v>8.1444061001661687</v>
      </c>
      <c r="V71" s="434">
        <f t="shared" si="197"/>
        <v>8.1570948794476958</v>
      </c>
      <c r="W71" s="434">
        <f t="shared" ref="W71:X71" si="198">W$21/W22</f>
        <v>8.1781630787088471</v>
      </c>
      <c r="X71" s="434">
        <f t="shared" si="198"/>
        <v>8.6927500462675837</v>
      </c>
      <c r="Y71" s="434">
        <f t="shared" ref="Y71" si="199">Y$21/Y22</f>
        <v>9.0872168174211172</v>
      </c>
    </row>
  </sheetData>
  <mergeCells count="1">
    <mergeCell ref="Z4:AB4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3">
    <tabColor indexed="24"/>
  </sheetPr>
  <dimension ref="A1:AN53"/>
  <sheetViews>
    <sheetView zoomScale="110" zoomScaleNormal="110" workbookViewId="0">
      <pane xSplit="1" topLeftCell="X1" activePane="topRight" state="frozen"/>
      <selection activeCell="A25" sqref="A25"/>
      <selection pane="topRight"/>
    </sheetView>
  </sheetViews>
  <sheetFormatPr baseColWidth="10" defaultRowHeight="12.5" x14ac:dyDescent="0.25"/>
  <cols>
    <col min="1" max="1" width="33.1796875" bestFit="1" customWidth="1"/>
    <col min="2" max="2" width="12.26953125" bestFit="1" customWidth="1"/>
    <col min="3" max="9" width="11.453125" customWidth="1"/>
    <col min="10" max="10" width="12.1796875" customWidth="1"/>
    <col min="11" max="12" width="11.453125" customWidth="1"/>
    <col min="13" max="14" width="12.1796875" customWidth="1"/>
    <col min="15" max="25" width="11.453125" customWidth="1"/>
    <col min="26" max="26" width="3.81640625" customWidth="1"/>
    <col min="29" max="29" width="11" bestFit="1" customWidth="1"/>
    <col min="33" max="33" width="3.81640625" customWidth="1"/>
    <col min="34" max="34" width="22.1796875" bestFit="1" customWidth="1"/>
    <col min="35" max="37" width="5.54296875" bestFit="1" customWidth="1"/>
    <col min="38" max="38" width="10.1796875" bestFit="1" customWidth="1"/>
    <col min="39" max="39" width="5.54296875" bestFit="1" customWidth="1"/>
    <col min="40" max="40" width="7.81640625" bestFit="1" customWidth="1"/>
  </cols>
  <sheetData>
    <row r="1" spans="1:40" ht="13" x14ac:dyDescent="0.3">
      <c r="A1" s="398" t="s">
        <v>38</v>
      </c>
      <c r="B1" s="399">
        <v>2000</v>
      </c>
      <c r="C1" s="399">
        <f t="shared" ref="C1:R1" si="0">+B1+1</f>
        <v>2001</v>
      </c>
      <c r="D1" s="399">
        <f t="shared" si="0"/>
        <v>2002</v>
      </c>
      <c r="E1" s="399">
        <f t="shared" si="0"/>
        <v>2003</v>
      </c>
      <c r="F1" s="399">
        <f t="shared" si="0"/>
        <v>2004</v>
      </c>
      <c r="G1" s="399">
        <f t="shared" si="0"/>
        <v>2005</v>
      </c>
      <c r="H1" s="399">
        <f t="shared" si="0"/>
        <v>2006</v>
      </c>
      <c r="I1" s="399">
        <f t="shared" si="0"/>
        <v>2007</v>
      </c>
      <c r="J1" s="399">
        <f t="shared" si="0"/>
        <v>2008</v>
      </c>
      <c r="K1" s="399">
        <f t="shared" si="0"/>
        <v>2009</v>
      </c>
      <c r="L1" s="399">
        <f t="shared" si="0"/>
        <v>2010</v>
      </c>
      <c r="M1" s="399">
        <f t="shared" si="0"/>
        <v>2011</v>
      </c>
      <c r="N1" s="399">
        <f t="shared" si="0"/>
        <v>2012</v>
      </c>
      <c r="O1" s="399">
        <f t="shared" si="0"/>
        <v>2013</v>
      </c>
      <c r="P1" s="399">
        <f t="shared" si="0"/>
        <v>2014</v>
      </c>
      <c r="Q1" s="399">
        <f t="shared" si="0"/>
        <v>2015</v>
      </c>
      <c r="R1" s="399">
        <f t="shared" si="0"/>
        <v>2016</v>
      </c>
      <c r="S1" s="399">
        <f t="shared" ref="S1" si="1">+R1+1</f>
        <v>2017</v>
      </c>
      <c r="T1" s="399">
        <f t="shared" ref="T1:U1" si="2">+S1+1</f>
        <v>2018</v>
      </c>
      <c r="U1" s="399">
        <f t="shared" si="2"/>
        <v>2019</v>
      </c>
      <c r="V1" s="399">
        <v>2020</v>
      </c>
      <c r="W1" s="399">
        <v>2021</v>
      </c>
      <c r="X1" s="399">
        <v>2022</v>
      </c>
      <c r="Y1" s="399">
        <v>2023</v>
      </c>
      <c r="AA1" s="461">
        <v>2020</v>
      </c>
      <c r="AB1" s="461">
        <v>2021</v>
      </c>
      <c r="AC1" s="461">
        <v>2022</v>
      </c>
      <c r="AD1" s="461">
        <v>2023</v>
      </c>
      <c r="AE1" s="461" t="s">
        <v>126</v>
      </c>
      <c r="AF1" s="461" t="s">
        <v>137</v>
      </c>
      <c r="AH1" s="3" t="s">
        <v>5</v>
      </c>
      <c r="AI1" s="399">
        <f>AA1</f>
        <v>2020</v>
      </c>
      <c r="AJ1" s="399">
        <f>AB1</f>
        <v>2021</v>
      </c>
      <c r="AK1" s="399">
        <f>AC1</f>
        <v>2022</v>
      </c>
      <c r="AL1" s="399">
        <f t="shared" ref="AL1:AM1" si="3">AD1</f>
        <v>2023</v>
      </c>
      <c r="AM1" s="399" t="str">
        <f t="shared" si="3"/>
        <v>2024(p)</v>
      </c>
      <c r="AN1" s="399" t="str">
        <f>AF1</f>
        <v>2025(p)</v>
      </c>
    </row>
    <row r="2" spans="1:40" x14ac:dyDescent="0.25">
      <c r="A2" s="399" t="s">
        <v>71</v>
      </c>
      <c r="B2" s="2">
        <f>'Compléter avc fascic acompte ok'!B2</f>
        <v>659519</v>
      </c>
      <c r="C2" s="2">
        <f>'Compléter avc fascic acompte ok'!C2</f>
        <v>676723</v>
      </c>
      <c r="D2" s="2">
        <f>'Compléter avc fascic acompte ok'!D2</f>
        <v>678769</v>
      </c>
      <c r="E2" s="2">
        <f>'Compléter avc fascic acompte ok'!E2</f>
        <v>744019</v>
      </c>
      <c r="F2" s="2">
        <f>'Compléter avc fascic acompte ok'!F2</f>
        <v>725525</v>
      </c>
      <c r="G2" s="2">
        <f>'Compléter avc fascic acompte ok'!G2</f>
        <v>723171</v>
      </c>
      <c r="H2" s="2">
        <f>'Compléter avc fascic acompte ok'!H2</f>
        <v>715348</v>
      </c>
      <c r="I2" s="2">
        <f>'Compléter avc fascic acompte ok'!I2</f>
        <v>711599</v>
      </c>
      <c r="J2" s="2">
        <f>'Compléter avc fascic acompte ok'!J2</f>
        <v>712279</v>
      </c>
      <c r="K2" s="2">
        <f>'Compléter avc fascic acompte ok'!K2</f>
        <v>715909.85795642762</v>
      </c>
      <c r="L2" s="2">
        <f>'Compléter avc fascic acompte ok'!L2</f>
        <v>709842.13447587076</v>
      </c>
      <c r="M2" s="2">
        <f>'Compléter avc fascic acompte ok'!M2</f>
        <v>684350.19724672846</v>
      </c>
      <c r="N2" s="2">
        <f>'Compléter avc fascic acompte ok'!N2</f>
        <v>683429</v>
      </c>
      <c r="O2" s="2">
        <f>'Compléter avc fascic acompte ok'!O2</f>
        <v>691466</v>
      </c>
      <c r="P2" s="2">
        <f>'Compléter avc fascic acompte ok'!P2</f>
        <v>713151</v>
      </c>
      <c r="Q2" s="2">
        <f>'Compléter avc fascic acompte ok'!Q2</f>
        <v>723966</v>
      </c>
      <c r="R2" s="2">
        <f>'Compléter avc fascic acompte ok'!R2</f>
        <v>733492</v>
      </c>
      <c r="S2" s="2">
        <f>'Compléter avc fascic acompte ok'!S2</f>
        <v>737026</v>
      </c>
      <c r="T2" s="2">
        <f>'Compléter avc fascic acompte ok'!T2</f>
        <v>752765</v>
      </c>
      <c r="U2" s="2">
        <f>'Compléter avc fascic acompte ok'!U2</f>
        <v>788220</v>
      </c>
      <c r="V2" s="2">
        <f>'Compléter avc fascic acompte ok'!V2</f>
        <v>790190</v>
      </c>
      <c r="W2" s="2">
        <f>'Compléter avc fascic acompte ok'!W2</f>
        <v>821500</v>
      </c>
      <c r="X2" s="2">
        <f>'Compléter avc fascic acompte ok'!X2</f>
        <v>836158</v>
      </c>
      <c r="Y2" s="460">
        <f>'Compléter avc fascic acompte ok'!Y2</f>
        <v>827199</v>
      </c>
      <c r="AA2" s="2">
        <f t="shared" ref="AA2:AA7" si="4">V2</f>
        <v>790190</v>
      </c>
      <c r="AB2" s="2">
        <f t="shared" ref="AB2:AD7" si="5">W2</f>
        <v>821500</v>
      </c>
      <c r="AC2" s="2">
        <f t="shared" si="5"/>
        <v>836158</v>
      </c>
      <c r="AD2" s="2">
        <f t="shared" si="5"/>
        <v>827199</v>
      </c>
      <c r="AE2" s="495">
        <v>837693</v>
      </c>
      <c r="AF2" s="495">
        <v>847173</v>
      </c>
      <c r="AG2" s="145"/>
      <c r="AH2" s="399" t="s">
        <v>70</v>
      </c>
      <c r="AI2" s="168">
        <f>AA14/AA4</f>
        <v>0.52538068807511928</v>
      </c>
      <c r="AJ2" s="168">
        <f t="shared" ref="AJ2:AM4" si="6">AB14/AB4</f>
        <v>0.50460426134552039</v>
      </c>
      <c r="AK2" s="168">
        <f t="shared" si="6"/>
        <v>0.50630692033245561</v>
      </c>
      <c r="AL2" s="500">
        <f>AD14/AD4</f>
        <v>0.50860360051891818</v>
      </c>
      <c r="AM2" s="500">
        <f t="shared" si="6"/>
        <v>0.51318335721556174</v>
      </c>
      <c r="AN2" s="500">
        <f>AF14/AF4</f>
        <v>0.51080082910093316</v>
      </c>
    </row>
    <row r="3" spans="1:40" x14ac:dyDescent="0.25">
      <c r="A3" s="399" t="s">
        <v>72</v>
      </c>
      <c r="B3" s="2">
        <f>'Compléter avc fascic acompte ok'!B3</f>
        <v>687000</v>
      </c>
      <c r="C3" s="2">
        <f>'Compléter avc fascic acompte ok'!C3</f>
        <v>676390</v>
      </c>
      <c r="D3" s="2">
        <f>'Compléter avc fascic acompte ok'!D3</f>
        <v>655605</v>
      </c>
      <c r="E3" s="2">
        <f>'Compléter avc fascic acompte ok'!E3</f>
        <v>636763</v>
      </c>
      <c r="F3" s="2">
        <f>'Compléter avc fascic acompte ok'!F3</f>
        <v>621931</v>
      </c>
      <c r="G3" s="2">
        <f>'Compléter avc fascic acompte ok'!G3</f>
        <v>606458</v>
      </c>
      <c r="H3" s="2">
        <f>'Compléter avc fascic acompte ok'!H3</f>
        <v>584426</v>
      </c>
      <c r="I3" s="2">
        <f>'Compléter avc fascic acompte ok'!I3</f>
        <v>566430</v>
      </c>
      <c r="J3" s="2">
        <f>'Compléter avc fascic acompte ok'!J3</f>
        <v>552133</v>
      </c>
      <c r="K3" s="2">
        <f>'Compléter avc fascic acompte ok'!K3</f>
        <v>537223</v>
      </c>
      <c r="L3" s="2">
        <f>'Compléter avc fascic acompte ok'!L3</f>
        <v>528375</v>
      </c>
      <c r="M3" s="2">
        <f>'Compléter avc fascic acompte ok'!M3</f>
        <v>518487</v>
      </c>
      <c r="N3" s="2">
        <f>'Compléter avc fascic acompte ok'!N3</f>
        <v>513085</v>
      </c>
      <c r="O3" s="2">
        <f>'Compléter avc fascic acompte ok'!O3</f>
        <v>504510</v>
      </c>
      <c r="P3" s="2">
        <f>'Compléter avc fascic acompte ok'!P3</f>
        <v>495706</v>
      </c>
      <c r="Q3" s="2">
        <f>'Compléter avc fascic acompte ok'!Q3</f>
        <v>485436</v>
      </c>
      <c r="R3" s="2">
        <f>'Compléter avc fascic acompte ok'!R3</f>
        <v>477593</v>
      </c>
      <c r="S3" s="2">
        <f>'Compléter avc fascic acompte ok'!S3</f>
        <v>469850</v>
      </c>
      <c r="T3" s="2">
        <f>'Compléter avc fascic acompte ok'!T3</f>
        <v>460643</v>
      </c>
      <c r="U3" s="2">
        <f>'Compléter avc fascic acompte ok'!U3</f>
        <v>450417</v>
      </c>
      <c r="V3" s="2">
        <f>'Compléter avc fascic acompte ok'!V3</f>
        <v>443033</v>
      </c>
      <c r="W3" s="2">
        <f>'Compléter avc fascic acompte ok'!W3</f>
        <v>436863</v>
      </c>
      <c r="X3" s="2">
        <f>'Compléter avc fascic acompte ok'!X3</f>
        <v>430081</v>
      </c>
      <c r="Y3" s="2">
        <f>'Compléter avc fascic acompte ok'!Y3</f>
        <v>421381</v>
      </c>
      <c r="AA3" s="2">
        <f t="shared" si="4"/>
        <v>443033</v>
      </c>
      <c r="AB3" s="2">
        <f t="shared" si="5"/>
        <v>436863</v>
      </c>
      <c r="AC3" s="2">
        <f t="shared" si="5"/>
        <v>430081</v>
      </c>
      <c r="AD3" s="2">
        <f t="shared" si="5"/>
        <v>421381</v>
      </c>
      <c r="AE3" s="495">
        <v>415638</v>
      </c>
      <c r="AF3" s="495">
        <v>409632</v>
      </c>
      <c r="AG3" s="145"/>
      <c r="AH3" s="399" t="s">
        <v>71</v>
      </c>
      <c r="AI3" s="168">
        <f t="shared" ref="AI3:AK4" si="7">AA12/AA2</f>
        <v>2.1643984358192334</v>
      </c>
      <c r="AJ3" s="168">
        <f t="shared" si="6"/>
        <v>0.60673276030754009</v>
      </c>
      <c r="AK3" s="168">
        <f t="shared" si="7"/>
        <v>1.9803649549487059</v>
      </c>
      <c r="AL3" s="501">
        <f t="shared" ref="AL3:AN3" si="8">AD12/AD2</f>
        <v>1.9602489848271094</v>
      </c>
      <c r="AM3" s="501">
        <f>AE12/AE2</f>
        <v>1.9046392890951698</v>
      </c>
      <c r="AN3" s="501">
        <f t="shared" si="8"/>
        <v>1.8555584278535788</v>
      </c>
    </row>
    <row r="4" spans="1:40" x14ac:dyDescent="0.25">
      <c r="A4" s="399" t="s">
        <v>70</v>
      </c>
      <c r="B4" s="2">
        <f>'Compléter avc fascic acompte ok'!B4</f>
        <v>15413792</v>
      </c>
      <c r="C4" s="2">
        <f>'Compléter avc fascic acompte ok'!C4</f>
        <v>15802363</v>
      </c>
      <c r="D4" s="2">
        <f>'Compléter avc fascic acompte ok'!D4</f>
        <v>16502649</v>
      </c>
      <c r="E4" s="2">
        <f>'Compléter avc fascic acompte ok'!E4</f>
        <v>19616421</v>
      </c>
      <c r="F4" s="2">
        <f>'Compléter avc fascic acompte ok'!F4</f>
        <v>19711559</v>
      </c>
      <c r="G4" s="2">
        <f>'Compléter avc fascic acompte ok'!G4</f>
        <v>19796457</v>
      </c>
      <c r="H4" s="2">
        <f>'Compléter avc fascic acompte ok'!H4</f>
        <v>19750058</v>
      </c>
      <c r="I4" s="2">
        <f>'Compléter avc fascic acompte ok'!I4</f>
        <v>19843786</v>
      </c>
      <c r="J4" s="2">
        <f>'Compléter avc fascic acompte ok'!J4</f>
        <v>20497119</v>
      </c>
      <c r="K4" s="2">
        <f>'Compléter avc fascic acompte ok'!K4</f>
        <v>20603251.65108702</v>
      </c>
      <c r="L4" s="2">
        <f>'Compléter avc fascic acompte ok'!L4</f>
        <v>20910166.482587487</v>
      </c>
      <c r="M4" s="2">
        <f>'Compléter avc fascic acompte ok'!M4</f>
        <v>21014671</v>
      </c>
      <c r="N4" s="2">
        <f>'Compléter avc fascic acompte ok'!N4</f>
        <v>21071519</v>
      </c>
      <c r="O4" s="2">
        <f>'Compléter avc fascic acompte ok'!O4</f>
        <v>21134116</v>
      </c>
      <c r="P4" s="2">
        <f>'Compléter avc fascic acompte ok'!P4</f>
        <v>21181978</v>
      </c>
      <c r="Q4" s="2">
        <f>'Compléter avc fascic acompte ok'!Q4</f>
        <v>21961348</v>
      </c>
      <c r="R4" s="2">
        <f>'Compléter avc fascic acompte ok'!R4</f>
        <v>22039370</v>
      </c>
      <c r="S4" s="2">
        <f>'Compléter avc fascic acompte ok'!S4</f>
        <v>22649701</v>
      </c>
      <c r="T4" s="2">
        <f>'Compléter avc fascic acompte ok'!T4</f>
        <v>22956237</v>
      </c>
      <c r="U4" s="2">
        <f>'Compléter avc fascic acompte ok'!U4</f>
        <v>23228359</v>
      </c>
      <c r="V4" s="2">
        <f>'Compléter avc fascic acompte ok'!V4</f>
        <v>22925462</v>
      </c>
      <c r="W4" s="2">
        <f>'Compléter avc fascic acompte ok'!W4</f>
        <v>24071505</v>
      </c>
      <c r="X4" s="2">
        <f>'Compléter avc fascic acompte ok'!X4</f>
        <v>24305682</v>
      </c>
      <c r="Y4" s="2">
        <f>'Compléter avc fascic acompte ok'!Y4</f>
        <v>24576513</v>
      </c>
      <c r="AA4" s="2">
        <f t="shared" si="4"/>
        <v>22925462</v>
      </c>
      <c r="AB4" s="2">
        <f t="shared" si="5"/>
        <v>24071505</v>
      </c>
      <c r="AC4" s="2">
        <f t="shared" si="5"/>
        <v>24305682</v>
      </c>
      <c r="AD4" s="2">
        <f t="shared" si="5"/>
        <v>24576513</v>
      </c>
      <c r="AE4" s="495">
        <v>24786213</v>
      </c>
      <c r="AF4" s="495">
        <v>25354211</v>
      </c>
      <c r="AG4" s="145"/>
      <c r="AH4" s="399" t="s">
        <v>72</v>
      </c>
      <c r="AI4" s="168">
        <f t="shared" si="7"/>
        <v>2.4949879580076426</v>
      </c>
      <c r="AJ4" s="168">
        <f t="shared" si="6"/>
        <v>0.61061503491465785</v>
      </c>
      <c r="AK4" s="168">
        <f t="shared" si="7"/>
        <v>2.3805399448010958</v>
      </c>
      <c r="AL4" s="501">
        <f t="shared" ref="AL4:AN4" si="9">AD13/AD3</f>
        <v>2.3474432876660316</v>
      </c>
      <c r="AM4" s="501">
        <f t="shared" si="9"/>
        <v>2.3123872215726187</v>
      </c>
      <c r="AN4" s="501">
        <f t="shared" si="9"/>
        <v>2.2914030153894225</v>
      </c>
    </row>
    <row r="5" spans="1:40" x14ac:dyDescent="0.25">
      <c r="A5" s="420" t="s">
        <v>136</v>
      </c>
      <c r="B5" s="434">
        <f>'Compléter avc fascic acompte ok'!B5</f>
        <v>1113157</v>
      </c>
      <c r="C5" s="434">
        <f>'Compléter avc fascic acompte ok'!C5</f>
        <v>1128987</v>
      </c>
      <c r="D5" s="434">
        <f>'Compléter avc fascic acompte ok'!D5</f>
        <v>1125443</v>
      </c>
      <c r="E5" s="434">
        <f>'Compléter avc fascic acompte ok'!E5</f>
        <v>1158735</v>
      </c>
      <c r="F5" s="434">
        <f>'Compléter avc fascic acompte ok'!F5</f>
        <v>1201328</v>
      </c>
      <c r="G5" s="434">
        <f>'Compléter avc fascic acompte ok'!G5</f>
        <v>1246491</v>
      </c>
      <c r="H5" s="434">
        <f>'Compléter avc fascic acompte ok'!H5</f>
        <v>1229029</v>
      </c>
      <c r="I5" s="434">
        <f>'Compléter avc fascic acompte ok'!I5</f>
        <v>1273269</v>
      </c>
      <c r="J5" s="434">
        <f>'Compléter avc fascic acompte ok'!J5</f>
        <v>1342154</v>
      </c>
      <c r="K5" s="434">
        <f>'Compléter avc fascic acompte ok'!K5</f>
        <v>1343136.4975189632</v>
      </c>
      <c r="L5" s="434">
        <f>'Compléter avc fascic acompte ok'!L5</f>
        <v>1437926</v>
      </c>
      <c r="M5" s="434">
        <f>'Compléter avc fascic acompte ok'!M5</f>
        <v>1500537.3238065001</v>
      </c>
      <c r="N5" s="434">
        <f>'Compléter avc fascic acompte ok'!N5</f>
        <v>1468021</v>
      </c>
      <c r="O5" s="434">
        <f>'Compléter avc fascic acompte ok'!O5</f>
        <v>1459787</v>
      </c>
      <c r="P5" s="434">
        <f>'Compléter avc fascic acompte ok'!P5</f>
        <v>1420137</v>
      </c>
      <c r="Q5" s="434">
        <f>'Compléter avc fascic acompte ok'!Q5</f>
        <v>1394972</v>
      </c>
      <c r="R5" s="434">
        <f>'Compléter avc fascic acompte ok'!R5</f>
        <v>1537888</v>
      </c>
      <c r="S5" s="434">
        <f>'Compléter avc fascic acompte ok'!S5</f>
        <v>1684451</v>
      </c>
      <c r="T5" s="434">
        <f>'Compléter avc fascic acompte ok'!T5</f>
        <v>1753519</v>
      </c>
      <c r="U5" s="434">
        <f>'Compléter avc fascic acompte ok'!U5</f>
        <v>1999392</v>
      </c>
      <c r="V5" s="434">
        <f>'Compléter avc fascic acompte ok'!V5</f>
        <v>2174424</v>
      </c>
      <c r="W5" s="434">
        <f>'Compléter avc fascic acompte ok'!W5</f>
        <v>2447941</v>
      </c>
      <c r="X5" s="434">
        <f>'Compléter avc fascic acompte ok'!X5</f>
        <v>2618226</v>
      </c>
      <c r="Y5" s="434">
        <f>'Compléter avc fascic acompte ok'!Y5</f>
        <v>2746002</v>
      </c>
      <c r="AA5" s="2">
        <f t="shared" si="4"/>
        <v>2174424</v>
      </c>
      <c r="AB5" s="2">
        <f t="shared" si="5"/>
        <v>2447941</v>
      </c>
      <c r="AC5" s="2">
        <f t="shared" si="5"/>
        <v>2618226</v>
      </c>
      <c r="AD5" s="2">
        <f t="shared" si="5"/>
        <v>2746002</v>
      </c>
      <c r="AE5" s="495">
        <v>2858376</v>
      </c>
      <c r="AF5" s="495">
        <v>2953927</v>
      </c>
      <c r="AG5" s="145"/>
      <c r="AH5" s="65"/>
      <c r="AI5" s="51"/>
      <c r="AJ5" s="51"/>
      <c r="AK5" s="51"/>
      <c r="AL5" s="51"/>
      <c r="AM5" s="51"/>
    </row>
    <row r="6" spans="1:40" s="67" customFormat="1" x14ac:dyDescent="0.25">
      <c r="A6" s="421" t="s">
        <v>36</v>
      </c>
      <c r="B6" s="403">
        <f t="shared" ref="B6:K6" si="10">B7-(B2+B3+B4+B5)</f>
        <v>5048854</v>
      </c>
      <c r="C6" s="403">
        <f t="shared" si="10"/>
        <v>5101558</v>
      </c>
      <c r="D6" s="403">
        <f t="shared" si="10"/>
        <v>5165100</v>
      </c>
      <c r="E6" s="403">
        <f t="shared" si="10"/>
        <v>5217536</v>
      </c>
      <c r="F6" s="403">
        <f t="shared" si="10"/>
        <v>5295445</v>
      </c>
      <c r="G6" s="403">
        <f t="shared" si="10"/>
        <v>5326789</v>
      </c>
      <c r="H6" s="403">
        <f t="shared" si="10"/>
        <v>5341854</v>
      </c>
      <c r="I6" s="403">
        <f t="shared" si="10"/>
        <v>5329810</v>
      </c>
      <c r="J6" s="403">
        <f t="shared" si="10"/>
        <v>5297929</v>
      </c>
      <c r="K6" s="403">
        <f t="shared" si="10"/>
        <v>5293868.4909565523</v>
      </c>
      <c r="L6" s="403">
        <f>L7-(L2+L3+L4+L5)</f>
        <v>5305165.3829366416</v>
      </c>
      <c r="M6" s="403">
        <f t="shared" ref="M6:R6" si="11">M7-(M2+M3+M4+M5)</f>
        <v>5438714.8027532697</v>
      </c>
      <c r="N6" s="403">
        <f t="shared" si="11"/>
        <v>5427886</v>
      </c>
      <c r="O6" s="403">
        <f t="shared" si="11"/>
        <v>5465462</v>
      </c>
      <c r="P6" s="403">
        <f t="shared" si="11"/>
        <v>5469593</v>
      </c>
      <c r="Q6" s="403">
        <f t="shared" si="11"/>
        <v>5497917.8960601315</v>
      </c>
      <c r="R6" s="403">
        <f t="shared" si="11"/>
        <v>5553283</v>
      </c>
      <c r="S6" s="403">
        <f t="shared" ref="S6:X6" si="12">S7-(S2+S3+S4+S5)</f>
        <v>5650144</v>
      </c>
      <c r="T6" s="403">
        <f t="shared" si="12"/>
        <v>5788338</v>
      </c>
      <c r="U6" s="403">
        <f t="shared" si="12"/>
        <v>5580313</v>
      </c>
      <c r="V6" s="403">
        <f t="shared" si="12"/>
        <v>5479134</v>
      </c>
      <c r="W6" s="403">
        <f t="shared" si="12"/>
        <v>5434537</v>
      </c>
      <c r="X6" s="403">
        <f t="shared" si="12"/>
        <v>5460118</v>
      </c>
      <c r="Y6" s="403">
        <f t="shared" ref="Y6" si="13">Y7-(Y2+Y3+Y4+Y5)</f>
        <v>5427080</v>
      </c>
      <c r="AA6" s="66">
        <f t="shared" si="4"/>
        <v>5479134</v>
      </c>
      <c r="AB6" s="66">
        <f t="shared" si="5"/>
        <v>5434537</v>
      </c>
      <c r="AC6" s="66">
        <f t="shared" si="5"/>
        <v>5460118</v>
      </c>
      <c r="AD6" s="66">
        <f t="shared" si="5"/>
        <v>5427080</v>
      </c>
      <c r="AE6" s="495">
        <f t="shared" ref="AE6:AF6" si="14">AE7-(AE2+AE3+AE4+AE5)</f>
        <v>5278498</v>
      </c>
      <c r="AF6" s="495">
        <f t="shared" si="14"/>
        <v>5256600</v>
      </c>
    </row>
    <row r="7" spans="1:40" x14ac:dyDescent="0.25">
      <c r="A7" s="422" t="s">
        <v>37</v>
      </c>
      <c r="B7" s="424">
        <v>22922322</v>
      </c>
      <c r="C7" s="424">
        <v>23386021</v>
      </c>
      <c r="D7" s="424">
        <v>24127566</v>
      </c>
      <c r="E7" s="424">
        <v>27373474</v>
      </c>
      <c r="F7" s="424">
        <v>27555788</v>
      </c>
      <c r="G7" s="424">
        <v>27699366</v>
      </c>
      <c r="H7" s="424">
        <v>27620715</v>
      </c>
      <c r="I7" s="424">
        <v>27724894</v>
      </c>
      <c r="J7" s="424">
        <v>28401614</v>
      </c>
      <c r="K7" s="424">
        <v>28493389.497518964</v>
      </c>
      <c r="L7" s="424">
        <v>28891475</v>
      </c>
      <c r="M7" s="424">
        <v>29156760.323806502</v>
      </c>
      <c r="N7" s="424">
        <f>'Effectifs ok'!N7</f>
        <v>29163940</v>
      </c>
      <c r="O7" s="424">
        <f>'Effectifs ok'!O7</f>
        <v>29255341</v>
      </c>
      <c r="P7" s="424">
        <f>'Effectifs ok'!P7</f>
        <v>29280565</v>
      </c>
      <c r="Q7" s="424">
        <f>'Effectifs ok'!Q7</f>
        <v>30063639.896060131</v>
      </c>
      <c r="R7" s="424">
        <f>'Effectifs ok'!R7</f>
        <v>30341626</v>
      </c>
      <c r="S7" s="424">
        <f>'Effectifs ok'!S7</f>
        <v>31191172</v>
      </c>
      <c r="T7" s="424">
        <f>'Effectifs ok'!T7</f>
        <v>31711502</v>
      </c>
      <c r="U7" s="424">
        <f>'Effectifs ok'!U7</f>
        <v>32046701</v>
      </c>
      <c r="V7" s="424">
        <f>'Effectifs ok'!V7</f>
        <v>31812243</v>
      </c>
      <c r="W7" s="424">
        <f>'Effectifs ok'!W7</f>
        <v>33212346</v>
      </c>
      <c r="X7" s="424">
        <f>'Effectifs ok'!X7</f>
        <v>33650265</v>
      </c>
      <c r="Y7" s="424">
        <f>'Effectifs ok'!Y7</f>
        <v>33998175</v>
      </c>
      <c r="AA7" s="66">
        <f t="shared" si="4"/>
        <v>31812243</v>
      </c>
      <c r="AB7" s="66">
        <f t="shared" si="5"/>
        <v>33212346</v>
      </c>
      <c r="AC7" s="66">
        <f t="shared" si="5"/>
        <v>33650265</v>
      </c>
      <c r="AD7" s="66">
        <f t="shared" si="5"/>
        <v>33998175</v>
      </c>
      <c r="AE7" s="495">
        <v>34176418</v>
      </c>
      <c r="AF7" s="495">
        <v>34821543</v>
      </c>
      <c r="AG7" s="497"/>
    </row>
    <row r="8" spans="1:40" s="67" customFormat="1" x14ac:dyDescent="0.25">
      <c r="A8" s="65" t="s">
        <v>40</v>
      </c>
      <c r="B8" s="71">
        <f t="shared" ref="B8:R8" si="15">SUM(B2:B3)/B7</f>
        <v>5.8742696311481879E-2</v>
      </c>
      <c r="C8" s="71">
        <f t="shared" si="15"/>
        <v>5.7859906993156296E-2</v>
      </c>
      <c r="D8" s="71">
        <f t="shared" si="15"/>
        <v>5.5304956994004284E-2</v>
      </c>
      <c r="E8" s="71">
        <f t="shared" si="15"/>
        <v>5.0442336986529369E-2</v>
      </c>
      <c r="F8" s="71">
        <f t="shared" si="15"/>
        <v>4.8899200414809406E-2</v>
      </c>
      <c r="G8" s="71">
        <f t="shared" si="15"/>
        <v>4.8002145608675661E-2</v>
      </c>
      <c r="H8" s="71">
        <f t="shared" si="15"/>
        <v>4.7057941838218161E-2</v>
      </c>
      <c r="I8" s="71">
        <f t="shared" si="15"/>
        <v>4.609680383268553E-2</v>
      </c>
      <c r="J8" s="71">
        <f t="shared" si="15"/>
        <v>4.4519019236019475E-2</v>
      </c>
      <c r="K8" s="71">
        <f t="shared" si="15"/>
        <v>4.3979774960277822E-2</v>
      </c>
      <c r="L8" s="71">
        <f t="shared" si="15"/>
        <v>4.2857525774501672E-2</v>
      </c>
      <c r="M8" s="71">
        <f t="shared" si="15"/>
        <v>4.1254144283808226E-2</v>
      </c>
      <c r="N8" s="71">
        <f t="shared" si="15"/>
        <v>4.1027172597392532E-2</v>
      </c>
      <c r="O8" s="71">
        <f t="shared" si="15"/>
        <v>4.0880603647723675E-2</v>
      </c>
      <c r="P8" s="71">
        <f t="shared" si="15"/>
        <v>4.1285303067068548E-2</v>
      </c>
      <c r="Q8" s="71">
        <f t="shared" si="15"/>
        <v>4.022806300838154E-2</v>
      </c>
      <c r="R8" s="71">
        <f t="shared" si="15"/>
        <v>3.9914966982982386E-2</v>
      </c>
      <c r="S8" s="71">
        <f t="shared" ref="S8:T8" si="16">SUM(S2:S3)/S7</f>
        <v>3.8692871175215859E-2</v>
      </c>
      <c r="T8" s="71">
        <f t="shared" si="16"/>
        <v>3.8263971224068792E-2</v>
      </c>
      <c r="U8" s="71">
        <f t="shared" ref="U8:V8" si="17">SUM(U2:U3)/U7</f>
        <v>3.865099874086883E-2</v>
      </c>
      <c r="V8" s="71">
        <f t="shared" si="17"/>
        <v>3.8765672700287121E-2</v>
      </c>
      <c r="W8" s="71">
        <f t="shared" ref="W8:X8" si="18">SUM(W2:W3)/W7</f>
        <v>3.7888410532637473E-2</v>
      </c>
      <c r="X8" s="71">
        <f t="shared" si="18"/>
        <v>3.7629391625890615E-2</v>
      </c>
      <c r="Y8" s="71">
        <f t="shared" ref="Y8" si="19">SUM(Y2:Y3)/Y7</f>
        <v>3.6724912440153037E-2</v>
      </c>
      <c r="Z8"/>
      <c r="AA8" s="71"/>
      <c r="AB8" s="71"/>
      <c r="AC8" s="71"/>
      <c r="AD8" s="71"/>
      <c r="AE8" s="528"/>
      <c r="AF8" s="528"/>
      <c r="AG8" s="498"/>
    </row>
    <row r="9" spans="1:40" x14ac:dyDescent="0.25">
      <c r="B9" s="70"/>
      <c r="C9" s="70"/>
      <c r="D9" s="70"/>
      <c r="E9" s="70"/>
      <c r="F9" s="70"/>
      <c r="G9" s="70"/>
      <c r="H9" s="70"/>
      <c r="I9" s="70"/>
      <c r="J9" s="113"/>
      <c r="K9" s="70"/>
      <c r="L9" s="70"/>
      <c r="M9" s="113"/>
      <c r="N9" s="113"/>
      <c r="O9" s="113"/>
      <c r="P9" s="113"/>
    </row>
    <row r="10" spans="1:40" s="67" customFormat="1" x14ac:dyDescent="0.25">
      <c r="A10" s="65"/>
      <c r="B10" s="6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Z10"/>
    </row>
    <row r="11" spans="1:40" ht="13" x14ac:dyDescent="0.3">
      <c r="A11" s="3" t="s">
        <v>39</v>
      </c>
      <c r="B11" s="399">
        <v>2000</v>
      </c>
      <c r="C11" s="399">
        <f t="shared" ref="C11:R11" si="20">+B11+1</f>
        <v>2001</v>
      </c>
      <c r="D11" s="399">
        <f t="shared" si="20"/>
        <v>2002</v>
      </c>
      <c r="E11" s="399">
        <f t="shared" si="20"/>
        <v>2003</v>
      </c>
      <c r="F11" s="399">
        <f t="shared" si="20"/>
        <v>2004</v>
      </c>
      <c r="G11" s="399">
        <f t="shared" si="20"/>
        <v>2005</v>
      </c>
      <c r="H11" s="399">
        <f t="shared" si="20"/>
        <v>2006</v>
      </c>
      <c r="I11" s="399">
        <f t="shared" si="20"/>
        <v>2007</v>
      </c>
      <c r="J11" s="399">
        <f t="shared" si="20"/>
        <v>2008</v>
      </c>
      <c r="K11" s="399">
        <f t="shared" si="20"/>
        <v>2009</v>
      </c>
      <c r="L11" s="399">
        <f t="shared" si="20"/>
        <v>2010</v>
      </c>
      <c r="M11" s="399">
        <f t="shared" si="20"/>
        <v>2011</v>
      </c>
      <c r="N11" s="399">
        <f t="shared" si="20"/>
        <v>2012</v>
      </c>
      <c r="O11" s="399">
        <f t="shared" si="20"/>
        <v>2013</v>
      </c>
      <c r="P11" s="399">
        <f t="shared" si="20"/>
        <v>2014</v>
      </c>
      <c r="Q11" s="399">
        <f t="shared" si="20"/>
        <v>2015</v>
      </c>
      <c r="R11" s="399">
        <f t="shared" si="20"/>
        <v>2016</v>
      </c>
      <c r="S11" s="399">
        <f t="shared" ref="S11" si="21">+R11+1</f>
        <v>2017</v>
      </c>
      <c r="T11" s="399">
        <f t="shared" ref="T11:U11" si="22">+S11+1</f>
        <v>2018</v>
      </c>
      <c r="U11" s="399">
        <f t="shared" si="22"/>
        <v>2019</v>
      </c>
      <c r="V11" s="399">
        <v>2020</v>
      </c>
      <c r="W11" s="399">
        <v>2021</v>
      </c>
      <c r="X11" s="399">
        <v>2022</v>
      </c>
      <c r="Y11" s="399">
        <v>2023</v>
      </c>
      <c r="AA11" s="1">
        <f t="shared" ref="AA11:AF11" si="23">AA1</f>
        <v>2020</v>
      </c>
      <c r="AB11" s="1">
        <f t="shared" si="23"/>
        <v>2021</v>
      </c>
      <c r="AC11" s="1">
        <f t="shared" si="23"/>
        <v>2022</v>
      </c>
      <c r="AD11" s="1">
        <f t="shared" si="23"/>
        <v>2023</v>
      </c>
      <c r="AE11" s="232" t="str">
        <f t="shared" si="23"/>
        <v>2024(p)</v>
      </c>
      <c r="AF11" s="232" t="str">
        <f t="shared" si="23"/>
        <v>2025(p)</v>
      </c>
    </row>
    <row r="12" spans="1:40" x14ac:dyDescent="0.25">
      <c r="A12" s="399" t="s">
        <v>0</v>
      </c>
      <c r="B12" s="2">
        <f>'Compléter avc fascic acompte ok'!B17</f>
        <v>1497643</v>
      </c>
      <c r="C12" s="2">
        <f>'Compléter avc fascic acompte ok'!C17</f>
        <v>1521309</v>
      </c>
      <c r="D12" s="2">
        <f>'Compléter avc fascic acompte ok'!D17</f>
        <v>1538120</v>
      </c>
      <c r="E12" s="2">
        <f>'Compléter avc fascic acompte ok'!E17</f>
        <v>1555566</v>
      </c>
      <c r="F12" s="2">
        <f>'Compléter avc fascic acompte ok'!F17</f>
        <v>1560620</v>
      </c>
      <c r="G12" s="2">
        <f>'Compléter avc fascic acompte ok'!G17</f>
        <v>1568923</v>
      </c>
      <c r="H12" s="2">
        <f>'Compléter avc fascic acompte ok'!H17</f>
        <v>1562663</v>
      </c>
      <c r="I12" s="2">
        <f>'Compléter avc fascic acompte ok'!I17</f>
        <v>1557322</v>
      </c>
      <c r="J12" s="2">
        <f>'Compléter avc fascic acompte ok'!J17</f>
        <v>1550431</v>
      </c>
      <c r="K12" s="2">
        <f>'Compléter avc fascic acompte ok'!K17</f>
        <v>1546179</v>
      </c>
      <c r="L12" s="2">
        <f>'Compléter avc fascic acompte ok'!L17</f>
        <v>1532610</v>
      </c>
      <c r="M12" s="2">
        <f>'Compléter avc fascic acompte ok'!M17</f>
        <v>1549282</v>
      </c>
      <c r="N12" s="2">
        <f>'Compléter avc fascic acompte ok'!N17</f>
        <v>1561833</v>
      </c>
      <c r="O12" s="2">
        <f>'Compléter avc fascic acompte ok'!O17</f>
        <v>1578933</v>
      </c>
      <c r="P12" s="2">
        <f>'Compléter avc fascic acompte ok'!P17</f>
        <v>1606041</v>
      </c>
      <c r="Q12" s="2">
        <f>'Compléter avc fascic acompte ok'!Q17</f>
        <v>1627138.1018825478</v>
      </c>
      <c r="R12" s="2">
        <f>'Compléter avc fascic acompte ok'!R17</f>
        <v>1650636</v>
      </c>
      <c r="S12" s="2">
        <f>'Compléter avc fascic acompte ok'!S17</f>
        <v>1665372</v>
      </c>
      <c r="T12" s="2">
        <f>'Compléter avc fascic acompte ok'!T17</f>
        <v>1685926</v>
      </c>
      <c r="U12" s="2">
        <f>'Compléter avc fascic acompte ok'!U17</f>
        <v>1701721</v>
      </c>
      <c r="V12" s="2">
        <f>'Compléter avc fascic acompte ok'!V17</f>
        <v>1710286</v>
      </c>
      <c r="W12" s="2">
        <f>'Compléter avc fascic acompte ok'!W17</f>
        <v>1679951</v>
      </c>
      <c r="X12" s="2">
        <f>'Compléter avc fascic acompte ok'!X17</f>
        <v>1655898</v>
      </c>
      <c r="Y12" s="2">
        <f>'Compléter avc fascic acompte ok'!Y17</f>
        <v>1621516</v>
      </c>
      <c r="AA12" s="2">
        <f t="shared" ref="AA12:AA17" si="24">V12</f>
        <v>1710286</v>
      </c>
      <c r="AB12" s="2">
        <f t="shared" ref="AB12:AD17" si="25">W12</f>
        <v>1679951</v>
      </c>
      <c r="AC12" s="2">
        <f t="shared" si="25"/>
        <v>1655898</v>
      </c>
      <c r="AD12" s="2">
        <f t="shared" si="25"/>
        <v>1621516</v>
      </c>
      <c r="AE12" s="496">
        <v>1595503</v>
      </c>
      <c r="AF12" s="496">
        <v>1571979</v>
      </c>
      <c r="AG12" s="497"/>
    </row>
    <row r="13" spans="1:40" x14ac:dyDescent="0.25">
      <c r="A13" s="399" t="s">
        <v>1</v>
      </c>
      <c r="B13" s="2">
        <f>'Compléter avc fascic acompte ok'!B18</f>
        <v>1725656</v>
      </c>
      <c r="C13" s="2">
        <f>'Compléter avc fascic acompte ok'!C18</f>
        <v>1720114</v>
      </c>
      <c r="D13" s="2">
        <f>'Compléter avc fascic acompte ok'!D18</f>
        <v>1711269</v>
      </c>
      <c r="E13" s="2">
        <f>'Compléter avc fascic acompte ok'!E18</f>
        <v>1695113</v>
      </c>
      <c r="F13" s="2">
        <f>'Compléter avc fascic acompte ok'!F18</f>
        <v>1681328</v>
      </c>
      <c r="G13" s="2">
        <f>'Compléter avc fascic acompte ok'!G18</f>
        <v>1657008</v>
      </c>
      <c r="H13" s="2">
        <f>'Compléter avc fascic acompte ok'!H18</f>
        <v>1619880</v>
      </c>
      <c r="I13" s="2">
        <f>'Compléter avc fascic acompte ok'!I18</f>
        <v>1585034</v>
      </c>
      <c r="J13" s="2">
        <f>'Compléter avc fascic acompte ok'!J18</f>
        <v>1546551</v>
      </c>
      <c r="K13" s="2">
        <f>'Compléter avc fascic acompte ok'!K18</f>
        <v>1494524</v>
      </c>
      <c r="L13" s="2">
        <f>'Compléter avc fascic acompte ok'!L18</f>
        <v>1455707</v>
      </c>
      <c r="M13" s="2">
        <f>'Compléter avc fascic acompte ok'!M18</f>
        <v>1422009</v>
      </c>
      <c r="N13" s="2">
        <f>'Compléter avc fascic acompte ok'!N18</f>
        <v>1393433</v>
      </c>
      <c r="O13" s="2">
        <f>'Compléter avc fascic acompte ok'!O18</f>
        <v>1361021</v>
      </c>
      <c r="P13" s="2">
        <f>'Compléter avc fascic acompte ok'!P18</f>
        <v>1332265</v>
      </c>
      <c r="Q13" s="2">
        <f>'Compléter avc fascic acompte ok'!Q18</f>
        <v>1297304.0902824686</v>
      </c>
      <c r="R13" s="2">
        <f>'Compléter avc fascic acompte ok'!R18</f>
        <v>1262089</v>
      </c>
      <c r="S13" s="2">
        <f>'Compléter avc fascic acompte ok'!S18</f>
        <v>1222252</v>
      </c>
      <c r="T13" s="2">
        <f>'Compléter avc fascic acompte ok'!T18</f>
        <v>1181655</v>
      </c>
      <c r="U13" s="2">
        <f>'Compléter avc fascic acompte ok'!U18</f>
        <v>1142251</v>
      </c>
      <c r="V13" s="2">
        <f>'Compléter avc fascic acompte ok'!V18</f>
        <v>1105362</v>
      </c>
      <c r="W13" s="2">
        <f>'Compléter avc fascic acompte ok'!W18</f>
        <v>1062308</v>
      </c>
      <c r="X13" s="2">
        <f>'Compléter avc fascic acompte ok'!X18</f>
        <v>1023825</v>
      </c>
      <c r="Y13" s="2">
        <f>'Compléter avc fascic acompte ok'!Y18</f>
        <v>989168</v>
      </c>
      <c r="AA13" s="2">
        <f t="shared" si="24"/>
        <v>1105362</v>
      </c>
      <c r="AB13" s="2">
        <f t="shared" si="25"/>
        <v>1062308</v>
      </c>
      <c r="AC13" s="2">
        <f t="shared" si="25"/>
        <v>1023825</v>
      </c>
      <c r="AD13" s="2">
        <f t="shared" si="25"/>
        <v>989168</v>
      </c>
      <c r="AE13" s="496">
        <v>961116</v>
      </c>
      <c r="AF13" s="496">
        <v>938632</v>
      </c>
      <c r="AG13" s="497"/>
    </row>
    <row r="14" spans="1:40" x14ac:dyDescent="0.25">
      <c r="A14" s="399" t="s">
        <v>2</v>
      </c>
      <c r="B14" s="2">
        <f>'Compléter avc fascic acompte ok'!B19</f>
        <v>7247214</v>
      </c>
      <c r="C14" s="2">
        <f>'Compléter avc fascic acompte ok'!C19</f>
        <v>7447331</v>
      </c>
      <c r="D14" s="2">
        <f>'Compléter avc fascic acompte ok'!D19</f>
        <v>7640068</v>
      </c>
      <c r="E14" s="2">
        <f>'Compléter avc fascic acompte ok'!E19</f>
        <v>7829478</v>
      </c>
      <c r="F14" s="2">
        <f>'Compléter avc fascic acompte ok'!F19</f>
        <v>7991239</v>
      </c>
      <c r="G14" s="2">
        <f>'Compléter avc fascic acompte ok'!G19</f>
        <v>8182849</v>
      </c>
      <c r="H14" s="2">
        <f>'Compléter avc fascic acompte ok'!H19</f>
        <v>8366315</v>
      </c>
      <c r="I14" s="2">
        <f>'Compléter avc fascic acompte ok'!I19</f>
        <v>8529343</v>
      </c>
      <c r="J14" s="2">
        <f>'Compléter avc fascic acompte ok'!J19</f>
        <v>8707276</v>
      </c>
      <c r="K14" s="2">
        <f>'Compléter avc fascic acompte ok'!K19</f>
        <v>8900883</v>
      </c>
      <c r="L14" s="2">
        <f>'Compléter avc fascic acompte ok'!L19</f>
        <v>9101064</v>
      </c>
      <c r="M14" s="2">
        <f>'Compléter avc fascic acompte ok'!M19</f>
        <v>9364530</v>
      </c>
      <c r="N14" s="2">
        <f>'Compléter avc fascic acompte ok'!N19</f>
        <v>9709081</v>
      </c>
      <c r="O14" s="2">
        <f>'Compléter avc fascic acompte ok'!O19</f>
        <v>10056212</v>
      </c>
      <c r="P14" s="2">
        <f>'Compléter avc fascic acompte ok'!P19</f>
        <v>10421561</v>
      </c>
      <c r="Q14" s="2">
        <f>'Compléter avc fascic acompte ok'!Q19</f>
        <v>10744163.724420674</v>
      </c>
      <c r="R14" s="2">
        <f>'Compléter avc fascic acompte ok'!R19</f>
        <v>11064931</v>
      </c>
      <c r="S14" s="2">
        <f>'Compléter avc fascic acompte ok'!S19</f>
        <v>11288191</v>
      </c>
      <c r="T14" s="2">
        <f>'Compléter avc fascic acompte ok'!T19</f>
        <v>11546822</v>
      </c>
      <c r="U14" s="2">
        <f>'Compléter avc fascic acompte ok'!U19</f>
        <v>11807198</v>
      </c>
      <c r="V14" s="2">
        <f>'Compléter avc fascic acompte ok'!V19</f>
        <v>12044595</v>
      </c>
      <c r="W14" s="2">
        <f>'Compléter avc fascic acompte ok'!W19</f>
        <v>12146584</v>
      </c>
      <c r="X14" s="2">
        <f>'Compléter avc fascic acompte ok'!X19</f>
        <v>12306135</v>
      </c>
      <c r="Y14" s="2">
        <f>'Compléter avc fascic acompte ok'!Y19</f>
        <v>12499703</v>
      </c>
      <c r="AA14" s="2">
        <f t="shared" si="24"/>
        <v>12044595</v>
      </c>
      <c r="AB14" s="2">
        <f t="shared" si="25"/>
        <v>12146584</v>
      </c>
      <c r="AC14" s="2">
        <f t="shared" si="25"/>
        <v>12306135</v>
      </c>
      <c r="AD14" s="2">
        <f t="shared" si="25"/>
        <v>12499703</v>
      </c>
      <c r="AE14" s="496">
        <v>12719872</v>
      </c>
      <c r="AF14" s="496">
        <v>12950952</v>
      </c>
      <c r="AG14" s="497"/>
    </row>
    <row r="15" spans="1:40" x14ac:dyDescent="0.25">
      <c r="A15" s="450" t="s">
        <v>103</v>
      </c>
      <c r="B15" s="434">
        <f>'Compléter avc fascic acompte ok'!B20</f>
        <v>986939</v>
      </c>
      <c r="C15" s="434">
        <f>'Compléter avc fascic acompte ok'!C20</f>
        <v>1006711</v>
      </c>
      <c r="D15" s="434">
        <f>'Compléter avc fascic acompte ok'!D20</f>
        <v>1018645</v>
      </c>
      <c r="E15" s="434">
        <f>'Compléter avc fascic acompte ok'!E20</f>
        <v>1031909</v>
      </c>
      <c r="F15" s="434">
        <f>'Compléter avc fascic acompte ok'!F20</f>
        <v>1044421</v>
      </c>
      <c r="G15" s="434">
        <f>'Compléter avc fascic acompte ok'!G20</f>
        <v>1064879</v>
      </c>
      <c r="H15" s="434">
        <f>'Compléter avc fascic acompte ok'!H20</f>
        <v>1078320</v>
      </c>
      <c r="I15" s="434">
        <f>'Compléter avc fascic acompte ok'!I20</f>
        <v>1095392</v>
      </c>
      <c r="J15" s="434">
        <f>'Compléter avc fascic acompte ok'!J20</f>
        <v>1114947</v>
      </c>
      <c r="K15" s="434">
        <f>'Compléter avc fascic acompte ok'!K20</f>
        <v>1136601.4932127125</v>
      </c>
      <c r="L15" s="434">
        <f>'Compléter avc fascic acompte ok'!L20</f>
        <v>1159216.5745917019</v>
      </c>
      <c r="M15" s="434">
        <f>'Compléter avc fascic acompte ok'!M20</f>
        <v>1191018</v>
      </c>
      <c r="N15" s="434">
        <f>'Compléter avc fascic acompte ok'!N20</f>
        <v>1235919</v>
      </c>
      <c r="O15" s="434">
        <f>'Compléter avc fascic acompte ok'!O20</f>
        <v>1277827</v>
      </c>
      <c r="P15" s="434">
        <f>'Compléter avc fascic acompte ok'!P20</f>
        <v>1322630</v>
      </c>
      <c r="Q15" s="434">
        <f>'Compléter avc fascic acompte ok'!Q20</f>
        <v>1367815.095094641</v>
      </c>
      <c r="R15" s="434">
        <f>'Compléter avc fascic acompte ok'!R20</f>
        <v>1411663</v>
      </c>
      <c r="S15" s="434">
        <f>'Compléter avc fascic acompte ok'!S20</f>
        <v>1446443</v>
      </c>
      <c r="T15" s="434">
        <f>'Compléter avc fascic acompte ok'!T20</f>
        <v>1414336</v>
      </c>
      <c r="U15" s="434">
        <f>'Compléter avc fascic acompte ok'!U20</f>
        <v>1449731</v>
      </c>
      <c r="V15" s="434">
        <f>'Compléter avc fascic acompte ok'!V20</f>
        <v>1476579</v>
      </c>
      <c r="W15" s="434">
        <f>'Compléter avc fascic acompte ok'!W20</f>
        <v>1485246</v>
      </c>
      <c r="X15" s="434">
        <f>'Compléter avc fascic acompte ok'!X20</f>
        <v>1415678</v>
      </c>
      <c r="Y15" s="434">
        <f>'Compléter avc fascic acompte ok'!Y20</f>
        <v>1375526</v>
      </c>
      <c r="AA15" s="2">
        <f t="shared" si="24"/>
        <v>1476579</v>
      </c>
      <c r="AB15" s="2">
        <f t="shared" si="25"/>
        <v>1485246</v>
      </c>
      <c r="AC15" s="2">
        <f t="shared" si="25"/>
        <v>1415678</v>
      </c>
      <c r="AD15" s="2">
        <f t="shared" si="25"/>
        <v>1375526</v>
      </c>
      <c r="AE15" s="496">
        <v>1330825</v>
      </c>
      <c r="AF15" s="496">
        <v>1275290</v>
      </c>
      <c r="AG15" s="497"/>
    </row>
    <row r="16" spans="1:40" s="67" customFormat="1" x14ac:dyDescent="0.25">
      <c r="A16" s="421" t="s">
        <v>36</v>
      </c>
      <c r="B16" s="403">
        <f>B17-(B12+B13+B14+B15)</f>
        <v>1773339</v>
      </c>
      <c r="C16" s="403">
        <f t="shared" ref="C16:R16" si="26">C17-(C12+C13+C14+C15)</f>
        <v>1810414</v>
      </c>
      <c r="D16" s="403">
        <f t="shared" si="26"/>
        <v>1869406</v>
      </c>
      <c r="E16" s="403">
        <f t="shared" si="26"/>
        <v>1909355</v>
      </c>
      <c r="F16" s="403">
        <f t="shared" si="26"/>
        <v>1948289</v>
      </c>
      <c r="G16" s="403">
        <f t="shared" si="26"/>
        <v>1990913</v>
      </c>
      <c r="H16" s="403">
        <f t="shared" si="26"/>
        <v>1946352</v>
      </c>
      <c r="I16" s="403">
        <f t="shared" si="26"/>
        <v>1982363</v>
      </c>
      <c r="J16" s="403">
        <f t="shared" si="26"/>
        <v>2034034</v>
      </c>
      <c r="K16" s="403">
        <f t="shared" si="26"/>
        <v>2096013</v>
      </c>
      <c r="L16" s="403">
        <f t="shared" si="26"/>
        <v>2142488.731098609</v>
      </c>
      <c r="M16" s="403">
        <f t="shared" si="26"/>
        <v>2222068.6566136274</v>
      </c>
      <c r="N16" s="403">
        <f t="shared" si="26"/>
        <v>2335122.3894585688</v>
      </c>
      <c r="O16" s="403">
        <f t="shared" si="26"/>
        <v>2450886</v>
      </c>
      <c r="P16" s="403">
        <f t="shared" si="26"/>
        <v>2565222.544507239</v>
      </c>
      <c r="Q16" s="403">
        <f t="shared" si="26"/>
        <v>2683452.3707745876</v>
      </c>
      <c r="R16" s="403">
        <f t="shared" si="26"/>
        <v>2788904</v>
      </c>
      <c r="S16" s="403">
        <f t="shared" ref="S16" si="27">S17-(S12+S13+S14+S15)</f>
        <v>2885308</v>
      </c>
      <c r="T16" s="403">
        <f>T17-(T12+T13+T14+T15)</f>
        <v>2984763</v>
      </c>
      <c r="U16" s="403">
        <f t="shared" ref="U16:V16" si="28">U17-(U12+U13+U14+U15)</f>
        <v>3091941</v>
      </c>
      <c r="V16" s="403">
        <f t="shared" si="28"/>
        <v>3197498</v>
      </c>
      <c r="W16" s="403">
        <f t="shared" ref="W16:X16" si="29">W17-(W12+W13+W14+W15)</f>
        <v>3318410</v>
      </c>
      <c r="X16" s="403">
        <f t="shared" si="29"/>
        <v>3422261</v>
      </c>
      <c r="Y16" s="403">
        <f t="shared" ref="Y16" si="30">Y17-(Y12+Y13+Y14+Y15)</f>
        <v>3519820</v>
      </c>
      <c r="AA16" s="66">
        <f t="shared" si="24"/>
        <v>3197498</v>
      </c>
      <c r="AB16" s="66">
        <f t="shared" si="25"/>
        <v>3318410</v>
      </c>
      <c r="AC16" s="66">
        <f t="shared" si="25"/>
        <v>3422261</v>
      </c>
      <c r="AD16" s="66">
        <f t="shared" si="25"/>
        <v>3519820</v>
      </c>
      <c r="AE16" s="496">
        <f>AE17-(AE12+AE13+AE14+AE15)</f>
        <v>3622583</v>
      </c>
      <c r="AF16" s="496">
        <f>AF17-(AF12+AF13+AF14+AF15)</f>
        <v>3729523</v>
      </c>
      <c r="AG16" s="498"/>
    </row>
    <row r="17" spans="1:33" x14ac:dyDescent="0.25">
      <c r="A17" s="422" t="s">
        <v>37</v>
      </c>
      <c r="B17" s="423">
        <v>13230791</v>
      </c>
      <c r="C17" s="423">
        <v>13505879</v>
      </c>
      <c r="D17" s="423">
        <v>13777508</v>
      </c>
      <c r="E17" s="423">
        <v>14021421</v>
      </c>
      <c r="F17" s="423">
        <v>14225897</v>
      </c>
      <c r="G17" s="423">
        <v>14464572</v>
      </c>
      <c r="H17" s="423">
        <v>14573530</v>
      </c>
      <c r="I17" s="423">
        <v>14749454</v>
      </c>
      <c r="J17" s="423">
        <v>14953239</v>
      </c>
      <c r="K17" s="423">
        <v>15174200.493212713</v>
      </c>
      <c r="L17" s="423">
        <v>15391086.305690311</v>
      </c>
      <c r="M17" s="423">
        <v>15748907.656613627</v>
      </c>
      <c r="N17" s="423">
        <f>'Effectifs ok'!N24</f>
        <v>16235388.389458569</v>
      </c>
      <c r="O17" s="423">
        <f>'Effectifs ok'!O24</f>
        <v>16724879</v>
      </c>
      <c r="P17" s="423">
        <f>'Effectifs ok'!P24</f>
        <v>17247719.544507239</v>
      </c>
      <c r="Q17" s="423">
        <f>'Effectifs ok'!Q24</f>
        <v>17719873.382454921</v>
      </c>
      <c r="R17" s="423">
        <f>'Effectifs ok'!R24</f>
        <v>18178223</v>
      </c>
      <c r="S17" s="423">
        <f>'Effectifs ok'!S24</f>
        <v>18507566</v>
      </c>
      <c r="T17" s="423">
        <f>'Effectifs ok'!T24</f>
        <v>18813502</v>
      </c>
      <c r="U17" s="423">
        <f>'Effectifs ok'!U24</f>
        <v>19192842</v>
      </c>
      <c r="V17" s="423">
        <f>'Effectifs ok'!V24</f>
        <v>19534320</v>
      </c>
      <c r="W17" s="423">
        <f>'Effectifs ok'!W24</f>
        <v>19692499</v>
      </c>
      <c r="X17" s="423">
        <f>'Effectifs ok'!X24</f>
        <v>19823797</v>
      </c>
      <c r="Y17" s="423">
        <f>'Effectifs ok'!Y24</f>
        <v>20005733</v>
      </c>
      <c r="AA17" s="66">
        <f t="shared" si="24"/>
        <v>19534320</v>
      </c>
      <c r="AB17" s="66">
        <f t="shared" si="25"/>
        <v>19692499</v>
      </c>
      <c r="AC17" s="66">
        <f t="shared" si="25"/>
        <v>19823797</v>
      </c>
      <c r="AD17" s="66">
        <f t="shared" si="25"/>
        <v>20005733</v>
      </c>
      <c r="AE17" s="499">
        <v>20229899</v>
      </c>
      <c r="AF17" s="499">
        <v>20466376</v>
      </c>
      <c r="AG17" s="497"/>
    </row>
    <row r="18" spans="1:33" s="67" customFormat="1" x14ac:dyDescent="0.25">
      <c r="A18" s="65" t="s">
        <v>40</v>
      </c>
      <c r="B18" s="71">
        <f t="shared" ref="B18:R18" si="31">SUM(B12:B13)/B17</f>
        <v>0.24362103520492465</v>
      </c>
      <c r="C18" s="71">
        <f t="shared" si="31"/>
        <v>0.24000089146363596</v>
      </c>
      <c r="D18" s="71">
        <f t="shared" si="31"/>
        <v>0.23584736804362588</v>
      </c>
      <c r="E18" s="71">
        <f t="shared" si="31"/>
        <v>0.23183663053837411</v>
      </c>
      <c r="F18" s="71">
        <f t="shared" si="31"/>
        <v>0.22789058573951435</v>
      </c>
      <c r="G18" s="71">
        <f t="shared" si="31"/>
        <v>0.2230229141933823</v>
      </c>
      <c r="H18" s="71">
        <f t="shared" si="31"/>
        <v>0.21837832014618283</v>
      </c>
      <c r="I18" s="71">
        <f t="shared" si="31"/>
        <v>0.21304897116869548</v>
      </c>
      <c r="J18" s="114">
        <f t="shared" si="31"/>
        <v>0.20711111485611913</v>
      </c>
      <c r="K18" s="71">
        <f t="shared" si="31"/>
        <v>0.20038637299936032</v>
      </c>
      <c r="L18" s="71">
        <f t="shared" si="31"/>
        <v>0.19415893983358246</v>
      </c>
      <c r="M18" s="114">
        <f t="shared" si="31"/>
        <v>0.18866648181483434</v>
      </c>
      <c r="N18" s="114">
        <f t="shared" si="31"/>
        <v>0.18202619667040529</v>
      </c>
      <c r="O18" s="114">
        <f t="shared" si="31"/>
        <v>0.17578327472503688</v>
      </c>
      <c r="P18" s="114">
        <f t="shared" si="31"/>
        <v>0.17035910123757445</v>
      </c>
      <c r="Q18" s="114">
        <f t="shared" si="31"/>
        <v>0.16503742036106256</v>
      </c>
      <c r="R18" s="114">
        <f t="shared" si="31"/>
        <v>0.16023155838719769</v>
      </c>
      <c r="S18" s="114">
        <f t="shared" ref="S18:T18" si="32">SUM(S12:S13)/S17</f>
        <v>0.15602397419520211</v>
      </c>
      <c r="T18" s="114">
        <f t="shared" si="32"/>
        <v>0.1524214364768452</v>
      </c>
      <c r="U18" s="114">
        <f t="shared" ref="U18:V18" si="33">SUM(U12:U13)/U17</f>
        <v>0.14817878456978908</v>
      </c>
      <c r="V18" s="114">
        <f t="shared" si="33"/>
        <v>0.14413852133066316</v>
      </c>
      <c r="W18" s="114">
        <f t="shared" ref="W18:X18" si="34">SUM(W12:W13)/W17</f>
        <v>0.1392539870130246</v>
      </c>
      <c r="X18" s="114">
        <f t="shared" si="34"/>
        <v>0.13517708035448506</v>
      </c>
      <c r="Y18" s="114">
        <f t="shared" ref="Y18" si="35">SUM(Y12:Y13)/Y17</f>
        <v>0.13049679309425952</v>
      </c>
      <c r="Z18"/>
      <c r="AA18" s="114"/>
      <c r="AB18" s="114"/>
      <c r="AC18"/>
      <c r="AD18" s="114"/>
      <c r="AE18" s="529"/>
      <c r="AF18" s="529"/>
    </row>
    <row r="20" spans="1:33" ht="13" x14ac:dyDescent="0.3">
      <c r="A20" s="3" t="s">
        <v>38</v>
      </c>
      <c r="B20" s="450">
        <v>2000</v>
      </c>
      <c r="C20" s="450">
        <f t="shared" ref="C20:R20" si="36">+B20+1</f>
        <v>2001</v>
      </c>
      <c r="D20" s="450">
        <f t="shared" si="36"/>
        <v>2002</v>
      </c>
      <c r="E20" s="450">
        <f t="shared" si="36"/>
        <v>2003</v>
      </c>
      <c r="F20" s="450">
        <f t="shared" si="36"/>
        <v>2004</v>
      </c>
      <c r="G20" s="450">
        <f t="shared" si="36"/>
        <v>2005</v>
      </c>
      <c r="H20" s="450">
        <f t="shared" si="36"/>
        <v>2006</v>
      </c>
      <c r="I20" s="450">
        <f t="shared" si="36"/>
        <v>2007</v>
      </c>
      <c r="J20" s="450">
        <f t="shared" si="36"/>
        <v>2008</v>
      </c>
      <c r="K20" s="450">
        <f t="shared" si="36"/>
        <v>2009</v>
      </c>
      <c r="L20" s="450">
        <f t="shared" si="36"/>
        <v>2010</v>
      </c>
      <c r="M20" s="450">
        <f t="shared" si="36"/>
        <v>2011</v>
      </c>
      <c r="N20" s="450">
        <f t="shared" si="36"/>
        <v>2012</v>
      </c>
      <c r="O20" s="450">
        <f t="shared" si="36"/>
        <v>2013</v>
      </c>
      <c r="P20" s="450">
        <f t="shared" si="36"/>
        <v>2014</v>
      </c>
      <c r="Q20" s="450">
        <f t="shared" si="36"/>
        <v>2015</v>
      </c>
      <c r="R20" s="450">
        <f t="shared" si="36"/>
        <v>2016</v>
      </c>
      <c r="S20" s="450">
        <f t="shared" ref="S20" si="37">+R20+1</f>
        <v>2017</v>
      </c>
      <c r="T20" s="450">
        <f t="shared" ref="T20:U20" si="38">+S20+1</f>
        <v>2018</v>
      </c>
      <c r="U20" s="450">
        <f t="shared" si="38"/>
        <v>2019</v>
      </c>
      <c r="V20" s="450">
        <v>2020</v>
      </c>
      <c r="W20" s="450">
        <v>2021</v>
      </c>
      <c r="X20" s="450">
        <v>2022</v>
      </c>
      <c r="Y20" s="450">
        <v>2023</v>
      </c>
    </row>
    <row r="21" spans="1:33" x14ac:dyDescent="0.25">
      <c r="A21" s="399" t="s">
        <v>71</v>
      </c>
      <c r="B21" s="115">
        <f t="shared" ref="B21:X21" si="39">B2/B$7</f>
        <v>2.8771910629298375E-2</v>
      </c>
      <c r="C21" s="115">
        <f t="shared" si="39"/>
        <v>2.8937073134416496E-2</v>
      </c>
      <c r="D21" s="115">
        <f t="shared" si="39"/>
        <v>2.813251034107626E-2</v>
      </c>
      <c r="E21" s="115">
        <f t="shared" si="39"/>
        <v>2.7180291401814764E-2</v>
      </c>
      <c r="F21" s="115">
        <f t="shared" si="39"/>
        <v>2.6329314189817397E-2</v>
      </c>
      <c r="G21" s="115">
        <f t="shared" si="39"/>
        <v>2.6107853876511107E-2</v>
      </c>
      <c r="H21" s="115">
        <f t="shared" si="39"/>
        <v>2.5898967495953672E-2</v>
      </c>
      <c r="I21" s="115">
        <f t="shared" si="39"/>
        <v>2.5666428156587363E-2</v>
      </c>
      <c r="J21" s="115">
        <f t="shared" si="39"/>
        <v>2.5078821224737438E-2</v>
      </c>
      <c r="K21" s="115">
        <f t="shared" si="39"/>
        <v>2.5125471928103351E-2</v>
      </c>
      <c r="L21" s="115">
        <f t="shared" si="39"/>
        <v>2.4569259079914429E-2</v>
      </c>
      <c r="M21" s="115">
        <f t="shared" si="39"/>
        <v>2.3471407304739421E-2</v>
      </c>
      <c r="N21" s="115">
        <f t="shared" si="39"/>
        <v>2.3434042176742925E-2</v>
      </c>
      <c r="O21" s="115">
        <f t="shared" si="39"/>
        <v>2.3635547437303842E-2</v>
      </c>
      <c r="P21" s="115">
        <f t="shared" si="39"/>
        <v>2.4355780019955215E-2</v>
      </c>
      <c r="Q21" s="115">
        <f t="shared" si="39"/>
        <v>2.4081116009338457E-2</v>
      </c>
      <c r="R21" s="115">
        <f t="shared" si="39"/>
        <v>2.4174446023426693E-2</v>
      </c>
      <c r="S21" s="115">
        <f t="shared" si="39"/>
        <v>2.3629314089255768E-2</v>
      </c>
      <c r="T21" s="115">
        <f t="shared" si="39"/>
        <v>2.3737916923644929E-2</v>
      </c>
      <c r="U21" s="115">
        <f t="shared" si="39"/>
        <v>2.459597947383102E-2</v>
      </c>
      <c r="V21" s="115">
        <f t="shared" si="39"/>
        <v>2.4839179054428825E-2</v>
      </c>
      <c r="W21" s="115">
        <f t="shared" si="39"/>
        <v>2.4734777844359443E-2</v>
      </c>
      <c r="X21" s="115">
        <f t="shared" si="39"/>
        <v>2.4848481876740051E-2</v>
      </c>
      <c r="Y21" s="115">
        <f t="shared" ref="Y21" si="40">Y2/Y$7</f>
        <v>2.4330688338418165E-2</v>
      </c>
    </row>
    <row r="22" spans="1:33" x14ac:dyDescent="0.25">
      <c r="A22" s="399" t="s">
        <v>72</v>
      </c>
      <c r="B22" s="115">
        <f t="shared" ref="B22:X22" si="41">B3/B$7</f>
        <v>2.9970785682183507E-2</v>
      </c>
      <c r="C22" s="115">
        <f t="shared" si="41"/>
        <v>2.89228338587398E-2</v>
      </c>
      <c r="D22" s="115">
        <f t="shared" si="41"/>
        <v>2.7172446652928024E-2</v>
      </c>
      <c r="E22" s="115">
        <f t="shared" si="41"/>
        <v>2.3262045584714605E-2</v>
      </c>
      <c r="F22" s="115">
        <f t="shared" si="41"/>
        <v>2.2569886224992005E-2</v>
      </c>
      <c r="G22" s="115">
        <f t="shared" si="41"/>
        <v>2.1894291732164554E-2</v>
      </c>
      <c r="H22" s="115">
        <f t="shared" si="41"/>
        <v>2.1158974342264492E-2</v>
      </c>
      <c r="I22" s="115">
        <f t="shared" si="41"/>
        <v>2.0430375676098168E-2</v>
      </c>
      <c r="J22" s="115">
        <f t="shared" si="41"/>
        <v>1.9440198011282037E-2</v>
      </c>
      <c r="K22" s="115">
        <f t="shared" si="41"/>
        <v>1.8854303032174471E-2</v>
      </c>
      <c r="L22" s="115">
        <f t="shared" si="41"/>
        <v>1.8288266694587243E-2</v>
      </c>
      <c r="M22" s="115">
        <f t="shared" si="41"/>
        <v>1.7782736979068806E-2</v>
      </c>
      <c r="N22" s="115">
        <f t="shared" si="41"/>
        <v>1.7593130420649611E-2</v>
      </c>
      <c r="O22" s="115">
        <f t="shared" si="41"/>
        <v>1.7245056210419833E-2</v>
      </c>
      <c r="P22" s="115">
        <f t="shared" si="41"/>
        <v>1.6929523047113332E-2</v>
      </c>
      <c r="Q22" s="115">
        <f t="shared" si="41"/>
        <v>1.6146946999043083E-2</v>
      </c>
      <c r="R22" s="115">
        <f t="shared" si="41"/>
        <v>1.5740520959555693E-2</v>
      </c>
      <c r="S22" s="115">
        <f t="shared" si="41"/>
        <v>1.5063557085960091E-2</v>
      </c>
      <c r="T22" s="115">
        <f t="shared" si="41"/>
        <v>1.4526054300423865E-2</v>
      </c>
      <c r="U22" s="115">
        <f t="shared" si="41"/>
        <v>1.4055019267037814E-2</v>
      </c>
      <c r="V22" s="115">
        <f t="shared" si="41"/>
        <v>1.3926493645858294E-2</v>
      </c>
      <c r="W22" s="115">
        <f t="shared" si="41"/>
        <v>1.3153632688278028E-2</v>
      </c>
      <c r="X22" s="115">
        <f t="shared" si="41"/>
        <v>1.2780909749150565E-2</v>
      </c>
      <c r="Y22" s="115">
        <f t="shared" ref="Y22" si="42">Y3/Y$7</f>
        <v>1.2394224101734873E-2</v>
      </c>
    </row>
    <row r="23" spans="1:33" x14ac:dyDescent="0.25">
      <c r="A23" s="399" t="s">
        <v>70</v>
      </c>
      <c r="B23" s="115">
        <f t="shared" ref="B23:X23" si="43">B4/B$7</f>
        <v>0.67243589022089467</v>
      </c>
      <c r="C23" s="115">
        <f t="shared" si="43"/>
        <v>0.67571832762828699</v>
      </c>
      <c r="D23" s="115">
        <f t="shared" si="43"/>
        <v>0.68397487753219699</v>
      </c>
      <c r="E23" s="115">
        <f t="shared" si="43"/>
        <v>0.71662153660145589</v>
      </c>
      <c r="F23" s="115">
        <f t="shared" si="43"/>
        <v>0.7153328004991184</v>
      </c>
      <c r="G23" s="115">
        <f t="shared" si="43"/>
        <v>0.71468989579039466</v>
      </c>
      <c r="H23" s="115">
        <f t="shared" si="43"/>
        <v>0.71504513912836798</v>
      </c>
      <c r="I23" s="115">
        <f t="shared" si="43"/>
        <v>0.71573893122909682</v>
      </c>
      <c r="J23" s="115">
        <f t="shared" si="43"/>
        <v>0.72168852798295191</v>
      </c>
      <c r="K23" s="115">
        <f t="shared" si="43"/>
        <v>0.72308882917846717</v>
      </c>
      <c r="L23" s="115">
        <f t="shared" si="43"/>
        <v>0.72374866574266239</v>
      </c>
      <c r="M23" s="115">
        <f t="shared" si="43"/>
        <v>0.72074780485270562</v>
      </c>
      <c r="N23" s="115">
        <f t="shared" si="43"/>
        <v>0.7225196252632532</v>
      </c>
      <c r="O23" s="115">
        <f t="shared" si="43"/>
        <v>0.7224019709768551</v>
      </c>
      <c r="P23" s="115">
        <f t="shared" si="43"/>
        <v>0.72341425105697243</v>
      </c>
      <c r="Q23" s="115">
        <f t="shared" si="43"/>
        <v>0.7304953118094677</v>
      </c>
      <c r="R23" s="115">
        <f t="shared" si="43"/>
        <v>0.72637405787020115</v>
      </c>
      <c r="S23" s="115">
        <f t="shared" si="43"/>
        <v>0.72615742043934739</v>
      </c>
      <c r="T23" s="115">
        <f t="shared" si="43"/>
        <v>0.72390885174723041</v>
      </c>
      <c r="U23" s="115">
        <f t="shared" si="43"/>
        <v>0.72482839965336843</v>
      </c>
      <c r="V23" s="115">
        <f t="shared" si="43"/>
        <v>0.72064902811159837</v>
      </c>
      <c r="W23" s="115">
        <f t="shared" si="43"/>
        <v>0.72477581077831721</v>
      </c>
      <c r="X23" s="115">
        <f t="shared" si="43"/>
        <v>0.72230284070571216</v>
      </c>
      <c r="Y23" s="115">
        <f t="shared" ref="Y23" si="44">Y4/Y$7</f>
        <v>0.72287741915558701</v>
      </c>
    </row>
    <row r="24" spans="1:33" x14ac:dyDescent="0.25">
      <c r="A24" s="450" t="str">
        <f>A5</f>
        <v>Régime des indépendants SSI</v>
      </c>
      <c r="B24" s="452">
        <f t="shared" ref="B24:X24" si="45">B5/B$7</f>
        <v>4.8562139559857852E-2</v>
      </c>
      <c r="C24" s="452">
        <f t="shared" si="45"/>
        <v>4.8276147532750439E-2</v>
      </c>
      <c r="D24" s="452">
        <f t="shared" si="45"/>
        <v>4.6645525702841306E-2</v>
      </c>
      <c r="E24" s="452">
        <f t="shared" si="45"/>
        <v>4.2330578866241093E-2</v>
      </c>
      <c r="F24" s="452">
        <f t="shared" si="45"/>
        <v>4.3596212890010623E-2</v>
      </c>
      <c r="G24" s="452">
        <f t="shared" si="45"/>
        <v>4.5000705070289332E-2</v>
      </c>
      <c r="H24" s="452">
        <f t="shared" si="45"/>
        <v>4.4496639569250832E-2</v>
      </c>
      <c r="I24" s="452">
        <f t="shared" si="45"/>
        <v>4.5925116972494108E-2</v>
      </c>
      <c r="J24" s="452">
        <f t="shared" si="45"/>
        <v>4.7256258042236612E-2</v>
      </c>
      <c r="K24" s="452">
        <f t="shared" si="45"/>
        <v>4.7138530066277849E-2</v>
      </c>
      <c r="L24" s="452">
        <f t="shared" si="45"/>
        <v>4.9769906174745318E-2</v>
      </c>
      <c r="M24" s="452">
        <f t="shared" si="45"/>
        <v>5.1464473663807943E-2</v>
      </c>
      <c r="N24" s="452">
        <f t="shared" si="45"/>
        <v>5.0336854348212209E-2</v>
      </c>
      <c r="O24" s="452">
        <f t="shared" si="45"/>
        <v>4.9898136548810007E-2</v>
      </c>
      <c r="P24" s="452">
        <f t="shared" si="45"/>
        <v>4.8501010824073917E-2</v>
      </c>
      <c r="Q24" s="452">
        <f t="shared" si="45"/>
        <v>4.6400635612416724E-2</v>
      </c>
      <c r="R24" s="452">
        <f t="shared" si="45"/>
        <v>5.0685747691966147E-2</v>
      </c>
      <c r="S24" s="452">
        <f t="shared" si="45"/>
        <v>5.4004094491864559E-2</v>
      </c>
      <c r="T24" s="452">
        <f t="shared" si="45"/>
        <v>5.5295993232991614E-2</v>
      </c>
      <c r="U24" s="452">
        <f t="shared" si="45"/>
        <v>6.2389947720359731E-2</v>
      </c>
      <c r="V24" s="452">
        <f t="shared" si="45"/>
        <v>6.8351797765407493E-2</v>
      </c>
      <c r="W24" s="452">
        <f t="shared" si="45"/>
        <v>7.3705753878392094E-2</v>
      </c>
      <c r="X24" s="452">
        <f t="shared" si="45"/>
        <v>7.7806994982060326E-2</v>
      </c>
      <c r="Y24" s="452">
        <f t="shared" ref="Y24" si="46">Y5/Y$7</f>
        <v>8.0769100106108632E-2</v>
      </c>
    </row>
    <row r="25" spans="1:33" x14ac:dyDescent="0.25">
      <c r="A25" s="421" t="s">
        <v>36</v>
      </c>
      <c r="B25" s="451">
        <f t="shared" ref="B25:X25" si="47">B6/B$7</f>
        <v>0.22025927390776553</v>
      </c>
      <c r="C25" s="451">
        <f t="shared" si="47"/>
        <v>0.21814561784580627</v>
      </c>
      <c r="D25" s="451">
        <f t="shared" si="47"/>
        <v>0.21407463977095742</v>
      </c>
      <c r="E25" s="451">
        <f t="shared" si="47"/>
        <v>0.19060554754577369</v>
      </c>
      <c r="F25" s="451">
        <f t="shared" si="47"/>
        <v>0.19217178619606159</v>
      </c>
      <c r="G25" s="451">
        <f t="shared" si="47"/>
        <v>0.19230725353064038</v>
      </c>
      <c r="H25" s="451">
        <f t="shared" si="47"/>
        <v>0.19340027946416305</v>
      </c>
      <c r="I25" s="451">
        <f t="shared" si="47"/>
        <v>0.1922391479657235</v>
      </c>
      <c r="J25" s="451">
        <f t="shared" si="47"/>
        <v>0.18653619473879196</v>
      </c>
      <c r="K25" s="451">
        <f t="shared" si="47"/>
        <v>0.18579286579497714</v>
      </c>
      <c r="L25" s="451">
        <f t="shared" si="47"/>
        <v>0.18362390230809059</v>
      </c>
      <c r="M25" s="451">
        <f t="shared" si="47"/>
        <v>0.18653357719967803</v>
      </c>
      <c r="N25" s="451">
        <f t="shared" si="47"/>
        <v>0.18611634779114208</v>
      </c>
      <c r="O25" s="451">
        <f t="shared" si="47"/>
        <v>0.18681928882661117</v>
      </c>
      <c r="P25" s="451">
        <f t="shared" si="47"/>
        <v>0.18679943505188509</v>
      </c>
      <c r="Q25" s="451">
        <f t="shared" si="47"/>
        <v>0.182875989569734</v>
      </c>
      <c r="R25" s="451">
        <f t="shared" si="47"/>
        <v>0.18302522745485031</v>
      </c>
      <c r="S25" s="451">
        <f t="shared" si="47"/>
        <v>0.1811456138935722</v>
      </c>
      <c r="T25" s="451">
        <f t="shared" si="47"/>
        <v>0.18253118379570921</v>
      </c>
      <c r="U25" s="451">
        <f t="shared" si="47"/>
        <v>0.17413065388540305</v>
      </c>
      <c r="V25" s="451">
        <f t="shared" si="47"/>
        <v>0.17223350142270696</v>
      </c>
      <c r="W25" s="451">
        <f t="shared" si="47"/>
        <v>0.16363002481065325</v>
      </c>
      <c r="X25" s="451">
        <f t="shared" si="47"/>
        <v>0.16226077268633693</v>
      </c>
      <c r="Y25" s="451">
        <f t="shared" ref="Y25" si="48">Y6/Y$7</f>
        <v>0.15962856829815131</v>
      </c>
    </row>
    <row r="28" spans="1:33" ht="13" x14ac:dyDescent="0.3">
      <c r="A28" s="3" t="s">
        <v>39</v>
      </c>
      <c r="B28" s="399">
        <v>2000</v>
      </c>
      <c r="C28" s="399">
        <f t="shared" ref="C28:R28" si="49">+B28+1</f>
        <v>2001</v>
      </c>
      <c r="D28" s="399">
        <f t="shared" si="49"/>
        <v>2002</v>
      </c>
      <c r="E28" s="399">
        <f t="shared" si="49"/>
        <v>2003</v>
      </c>
      <c r="F28" s="399">
        <f t="shared" si="49"/>
        <v>2004</v>
      </c>
      <c r="G28" s="399">
        <f t="shared" si="49"/>
        <v>2005</v>
      </c>
      <c r="H28" s="399">
        <f t="shared" si="49"/>
        <v>2006</v>
      </c>
      <c r="I28" s="399">
        <f t="shared" si="49"/>
        <v>2007</v>
      </c>
      <c r="J28" s="399">
        <f t="shared" si="49"/>
        <v>2008</v>
      </c>
      <c r="K28" s="399">
        <f t="shared" si="49"/>
        <v>2009</v>
      </c>
      <c r="L28" s="399">
        <f t="shared" si="49"/>
        <v>2010</v>
      </c>
      <c r="M28" s="399">
        <f t="shared" si="49"/>
        <v>2011</v>
      </c>
      <c r="N28" s="399">
        <f t="shared" si="49"/>
        <v>2012</v>
      </c>
      <c r="O28" s="399">
        <f t="shared" si="49"/>
        <v>2013</v>
      </c>
      <c r="P28" s="399">
        <f t="shared" si="49"/>
        <v>2014</v>
      </c>
      <c r="Q28" s="399">
        <f t="shared" si="49"/>
        <v>2015</v>
      </c>
      <c r="R28" s="399">
        <f t="shared" si="49"/>
        <v>2016</v>
      </c>
      <c r="S28" s="399">
        <f t="shared" ref="S28" si="50">+R28+1</f>
        <v>2017</v>
      </c>
      <c r="T28" s="399">
        <f t="shared" ref="T28:U28" si="51">+S28+1</f>
        <v>2018</v>
      </c>
      <c r="U28" s="399">
        <f t="shared" si="51"/>
        <v>2019</v>
      </c>
      <c r="V28" s="399">
        <v>2020</v>
      </c>
      <c r="W28" s="399">
        <v>2021</v>
      </c>
      <c r="X28" s="399">
        <v>2022</v>
      </c>
      <c r="Y28" s="399">
        <v>2023</v>
      </c>
    </row>
    <row r="29" spans="1:33" x14ac:dyDescent="0.25">
      <c r="A29" s="399" t="s">
        <v>71</v>
      </c>
      <c r="B29" s="115">
        <f t="shared" ref="B29:X29" si="52">B12/B$17</f>
        <v>0.11319376143119485</v>
      </c>
      <c r="C29" s="115">
        <f t="shared" si="52"/>
        <v>0.11264050270256383</v>
      </c>
      <c r="D29" s="115">
        <f t="shared" si="52"/>
        <v>0.11163992791729825</v>
      </c>
      <c r="E29" s="115">
        <f t="shared" si="52"/>
        <v>0.11094210779349682</v>
      </c>
      <c r="F29" s="115">
        <f t="shared" si="52"/>
        <v>0.10970274844531772</v>
      </c>
      <c r="G29" s="115">
        <f t="shared" si="52"/>
        <v>0.10846660378198539</v>
      </c>
      <c r="H29" s="115">
        <f t="shared" si="52"/>
        <v>0.10722611474364824</v>
      </c>
      <c r="I29" s="115">
        <f t="shared" si="52"/>
        <v>0.10558506097920642</v>
      </c>
      <c r="J29" s="115">
        <f t="shared" si="52"/>
        <v>0.10368529520594166</v>
      </c>
      <c r="K29" s="115">
        <f t="shared" si="52"/>
        <v>0.10189525311014523</v>
      </c>
      <c r="L29" s="115">
        <f t="shared" si="52"/>
        <v>9.957776660854481E-2</v>
      </c>
      <c r="M29" s="115">
        <f t="shared" si="52"/>
        <v>9.8373933848636894E-2</v>
      </c>
      <c r="N29" s="115">
        <f t="shared" si="52"/>
        <v>9.6199300105076532E-2</v>
      </c>
      <c r="O29" s="115">
        <f t="shared" si="52"/>
        <v>9.4406243536948764E-2</v>
      </c>
      <c r="P29" s="115">
        <f t="shared" si="52"/>
        <v>9.3116136069795075E-2</v>
      </c>
      <c r="Q29" s="115">
        <f t="shared" si="52"/>
        <v>9.1825605452329886E-2</v>
      </c>
      <c r="R29" s="115">
        <f t="shared" si="52"/>
        <v>9.0802934918336076E-2</v>
      </c>
      <c r="S29" s="115">
        <f t="shared" si="52"/>
        <v>8.9983307367376128E-2</v>
      </c>
      <c r="T29" s="115">
        <f t="shared" si="52"/>
        <v>8.9612555918616318E-2</v>
      </c>
      <c r="U29" s="115">
        <f t="shared" si="52"/>
        <v>8.8664357264025828E-2</v>
      </c>
      <c r="V29" s="115">
        <f t="shared" si="52"/>
        <v>8.7552881287907641E-2</v>
      </c>
      <c r="W29" s="115">
        <f t="shared" si="52"/>
        <v>8.5309182953367174E-2</v>
      </c>
      <c r="X29" s="115">
        <f t="shared" si="52"/>
        <v>8.3530819045412943E-2</v>
      </c>
      <c r="Y29" s="115">
        <f t="shared" ref="Y29" si="53">Y12/Y$17</f>
        <v>8.1052566281875307E-2</v>
      </c>
    </row>
    <row r="30" spans="1:33" x14ac:dyDescent="0.25">
      <c r="A30" s="399" t="s">
        <v>72</v>
      </c>
      <c r="B30" s="115">
        <f t="shared" ref="B30:X30" si="54">B13/B$17</f>
        <v>0.13042727377372978</v>
      </c>
      <c r="C30" s="115">
        <f t="shared" si="54"/>
        <v>0.12736038876107211</v>
      </c>
      <c r="D30" s="115">
        <f t="shared" si="54"/>
        <v>0.12420744012632763</v>
      </c>
      <c r="E30" s="115">
        <f t="shared" si="54"/>
        <v>0.12089452274487729</v>
      </c>
      <c r="F30" s="115">
        <f t="shared" si="54"/>
        <v>0.11818783729419663</v>
      </c>
      <c r="G30" s="115">
        <f t="shared" si="54"/>
        <v>0.1145563104113969</v>
      </c>
      <c r="H30" s="115">
        <f t="shared" si="54"/>
        <v>0.11115220540253459</v>
      </c>
      <c r="I30" s="115">
        <f t="shared" si="54"/>
        <v>0.10746391018948905</v>
      </c>
      <c r="J30" s="115">
        <f t="shared" si="54"/>
        <v>0.10342581965017747</v>
      </c>
      <c r="K30" s="115">
        <f t="shared" si="54"/>
        <v>9.8491119889215092E-2</v>
      </c>
      <c r="L30" s="115">
        <f t="shared" si="54"/>
        <v>9.4581173225037646E-2</v>
      </c>
      <c r="M30" s="115">
        <f t="shared" si="54"/>
        <v>9.0292547966197428E-2</v>
      </c>
      <c r="N30" s="115">
        <f t="shared" si="54"/>
        <v>8.5826896565328756E-2</v>
      </c>
      <c r="O30" s="115">
        <f t="shared" si="54"/>
        <v>8.1377031188088117E-2</v>
      </c>
      <c r="P30" s="115">
        <f t="shared" si="54"/>
        <v>7.7242965167779357E-2</v>
      </c>
      <c r="Q30" s="115">
        <f t="shared" si="54"/>
        <v>7.3211814908732686E-2</v>
      </c>
      <c r="R30" s="115">
        <f t="shared" si="54"/>
        <v>6.9428623468861611E-2</v>
      </c>
      <c r="S30" s="115">
        <f t="shared" si="54"/>
        <v>6.6040666827825986E-2</v>
      </c>
      <c r="T30" s="115">
        <f t="shared" si="54"/>
        <v>6.2808880558228877E-2</v>
      </c>
      <c r="U30" s="115">
        <f t="shared" si="54"/>
        <v>5.9514427305763264E-2</v>
      </c>
      <c r="V30" s="115">
        <f t="shared" si="54"/>
        <v>5.6585640042755521E-2</v>
      </c>
      <c r="W30" s="115">
        <f t="shared" si="54"/>
        <v>5.3944804059657438E-2</v>
      </c>
      <c r="X30" s="115">
        <f t="shared" si="54"/>
        <v>5.1646261309072121E-2</v>
      </c>
      <c r="Y30" s="115">
        <f t="shared" ref="Y30" si="55">Y13/Y$17</f>
        <v>4.944422681238423E-2</v>
      </c>
    </row>
    <row r="31" spans="1:33" x14ac:dyDescent="0.25">
      <c r="A31" s="399" t="s">
        <v>70</v>
      </c>
      <c r="B31" s="115">
        <f t="shared" ref="B31:X31" si="56">B14/B$17</f>
        <v>0.54775364526580461</v>
      </c>
      <c r="C31" s="115">
        <f t="shared" si="56"/>
        <v>0.55141401755487374</v>
      </c>
      <c r="D31" s="115">
        <f t="shared" si="56"/>
        <v>0.55453192260893625</v>
      </c>
      <c r="E31" s="115">
        <f t="shared" si="56"/>
        <v>0.55839404579607155</v>
      </c>
      <c r="F31" s="115">
        <f t="shared" si="56"/>
        <v>0.56173884852392786</v>
      </c>
      <c r="G31" s="115">
        <f t="shared" si="56"/>
        <v>0.56571663509988401</v>
      </c>
      <c r="H31" s="115">
        <f t="shared" si="56"/>
        <v>0.57407608177291292</v>
      </c>
      <c r="I31" s="115">
        <f t="shared" si="56"/>
        <v>0.57828194860636872</v>
      </c>
      <c r="J31" s="115">
        <f t="shared" si="56"/>
        <v>0.58230032971451873</v>
      </c>
      <c r="K31" s="115">
        <f t="shared" si="56"/>
        <v>0.58658003128278735</v>
      </c>
      <c r="L31" s="115">
        <f t="shared" si="56"/>
        <v>0.5913204447846675</v>
      </c>
      <c r="M31" s="115">
        <f t="shared" si="56"/>
        <v>0.59461457290769248</v>
      </c>
      <c r="N31" s="115">
        <f t="shared" si="56"/>
        <v>0.59801963261340785</v>
      </c>
      <c r="O31" s="115">
        <f t="shared" si="56"/>
        <v>0.60127263103069384</v>
      </c>
      <c r="P31" s="115">
        <f t="shared" si="56"/>
        <v>0.60422834294745253</v>
      </c>
      <c r="Q31" s="115">
        <f t="shared" si="56"/>
        <v>0.60633411382379598</v>
      </c>
      <c r="R31" s="115">
        <f t="shared" si="56"/>
        <v>0.6086915646265314</v>
      </c>
      <c r="S31" s="115">
        <f t="shared" si="56"/>
        <v>0.60992304444571477</v>
      </c>
      <c r="T31" s="115">
        <f t="shared" si="56"/>
        <v>0.61375186820614258</v>
      </c>
      <c r="U31" s="115">
        <f t="shared" si="56"/>
        <v>0.61518757878588282</v>
      </c>
      <c r="V31" s="115">
        <f t="shared" si="56"/>
        <v>0.61658634649171307</v>
      </c>
      <c r="W31" s="115">
        <f t="shared" si="56"/>
        <v>0.61681272651073893</v>
      </c>
      <c r="X31" s="115">
        <f t="shared" si="56"/>
        <v>0.62077587860690864</v>
      </c>
      <c r="Y31" s="115">
        <f t="shared" ref="Y31" si="57">Y14/Y$17</f>
        <v>0.62480604934595496</v>
      </c>
    </row>
    <row r="32" spans="1:33" x14ac:dyDescent="0.25">
      <c r="A32" s="450" t="str">
        <f>A5</f>
        <v>Régime des indépendants SSI</v>
      </c>
      <c r="B32" s="452">
        <f t="shared" ref="B32:X32" si="58">B15/B$17</f>
        <v>7.4594104010863749E-2</v>
      </c>
      <c r="C32" s="452">
        <f t="shared" si="58"/>
        <v>7.4538724950815857E-2</v>
      </c>
      <c r="D32" s="452">
        <f t="shared" si="58"/>
        <v>7.3935358992351888E-2</v>
      </c>
      <c r="E32" s="452">
        <f t="shared" si="58"/>
        <v>7.3595179832343663E-2</v>
      </c>
      <c r="F32" s="452">
        <f t="shared" si="58"/>
        <v>7.3416881902069159E-2</v>
      </c>
      <c r="G32" s="452">
        <f t="shared" si="58"/>
        <v>7.3619807070682775E-2</v>
      </c>
      <c r="H32" s="452">
        <f t="shared" si="58"/>
        <v>7.3991682179952278E-2</v>
      </c>
      <c r="I32" s="452">
        <f t="shared" si="58"/>
        <v>7.4266613530236447E-2</v>
      </c>
      <c r="J32" s="452">
        <f t="shared" si="58"/>
        <v>7.4562240327998505E-2</v>
      </c>
      <c r="K32" s="452">
        <f t="shared" si="58"/>
        <v>7.4903550517940259E-2</v>
      </c>
      <c r="L32" s="452">
        <f t="shared" si="58"/>
        <v>7.5317398107443687E-2</v>
      </c>
      <c r="M32" s="452">
        <f t="shared" si="58"/>
        <v>7.5625435488526821E-2</v>
      </c>
      <c r="N32" s="452">
        <f t="shared" si="58"/>
        <v>7.6125003624949714E-2</v>
      </c>
      <c r="O32" s="452">
        <f t="shared" si="58"/>
        <v>7.6402765006551021E-2</v>
      </c>
      <c r="P32" s="452">
        <f t="shared" si="58"/>
        <v>7.6684340592794997E-2</v>
      </c>
      <c r="Q32" s="452">
        <f t="shared" si="58"/>
        <v>7.7191019685781931E-2</v>
      </c>
      <c r="R32" s="452">
        <f t="shared" si="58"/>
        <v>7.765682047139591E-2</v>
      </c>
      <c r="S32" s="452">
        <f t="shared" si="58"/>
        <v>7.8154145175005726E-2</v>
      </c>
      <c r="T32" s="452">
        <f t="shared" si="58"/>
        <v>7.5176647069748095E-2</v>
      </c>
      <c r="U32" s="452">
        <f t="shared" si="58"/>
        <v>7.5534983302629172E-2</v>
      </c>
      <c r="V32" s="452">
        <f t="shared" si="58"/>
        <v>7.5588963424373101E-2</v>
      </c>
      <c r="W32" s="452">
        <f t="shared" si="58"/>
        <v>7.5421915725373406E-2</v>
      </c>
      <c r="X32" s="452">
        <f t="shared" si="58"/>
        <v>7.1413059768519624E-2</v>
      </c>
      <c r="Y32" s="452">
        <f t="shared" ref="Y32" si="59">Y15/Y$17</f>
        <v>6.875659092321186E-2</v>
      </c>
    </row>
    <row r="33" spans="1:25" x14ac:dyDescent="0.25">
      <c r="A33" s="421" t="s">
        <v>36</v>
      </c>
      <c r="B33" s="451">
        <f t="shared" ref="B33:X33" si="60">B16/B$17</f>
        <v>0.13403121551840702</v>
      </c>
      <c r="C33" s="451">
        <f t="shared" si="60"/>
        <v>0.13404636603067449</v>
      </c>
      <c r="D33" s="451">
        <f t="shared" si="60"/>
        <v>0.135685350355086</v>
      </c>
      <c r="E33" s="451">
        <f t="shared" si="60"/>
        <v>0.13617414383321064</v>
      </c>
      <c r="F33" s="451">
        <f t="shared" si="60"/>
        <v>0.13695368383448861</v>
      </c>
      <c r="G33" s="451">
        <f t="shared" si="60"/>
        <v>0.13764064363605089</v>
      </c>
      <c r="H33" s="451">
        <f t="shared" si="60"/>
        <v>0.13355391590095192</v>
      </c>
      <c r="I33" s="451">
        <f t="shared" si="60"/>
        <v>0.13440246669469935</v>
      </c>
      <c r="J33" s="451">
        <f t="shared" si="60"/>
        <v>0.13602631510136365</v>
      </c>
      <c r="K33" s="451">
        <f t="shared" si="60"/>
        <v>0.13813004519991207</v>
      </c>
      <c r="L33" s="451">
        <f t="shared" si="60"/>
        <v>0.13920321727430632</v>
      </c>
      <c r="M33" s="451">
        <f t="shared" si="60"/>
        <v>0.14109350978894639</v>
      </c>
      <c r="N33" s="451">
        <f t="shared" si="60"/>
        <v>0.14382916709123719</v>
      </c>
      <c r="O33" s="451">
        <f t="shared" si="60"/>
        <v>0.14654132923771826</v>
      </c>
      <c r="P33" s="451">
        <f t="shared" si="60"/>
        <v>0.14872821522217802</v>
      </c>
      <c r="Q33" s="451">
        <f t="shared" si="60"/>
        <v>0.15143744612935947</v>
      </c>
      <c r="R33" s="451">
        <f t="shared" si="60"/>
        <v>0.15342005651487498</v>
      </c>
      <c r="S33" s="451">
        <f t="shared" si="60"/>
        <v>0.15589883618407738</v>
      </c>
      <c r="T33" s="451">
        <f t="shared" si="60"/>
        <v>0.15865004824726411</v>
      </c>
      <c r="U33" s="451">
        <f t="shared" si="60"/>
        <v>0.16109865334169896</v>
      </c>
      <c r="V33" s="451">
        <f t="shared" si="60"/>
        <v>0.16368616875325068</v>
      </c>
      <c r="W33" s="451">
        <f t="shared" si="60"/>
        <v>0.16851137075086306</v>
      </c>
      <c r="X33" s="451">
        <f t="shared" si="60"/>
        <v>0.17263398127008667</v>
      </c>
      <c r="Y33" s="451">
        <f t="shared" ref="Y33" si="61">Y16/Y$17</f>
        <v>0.17594056663657362</v>
      </c>
    </row>
    <row r="35" spans="1:25" x14ac:dyDescent="0.25">
      <c r="A35" t="s">
        <v>76</v>
      </c>
    </row>
    <row r="36" spans="1:25" ht="13" x14ac:dyDescent="0.3">
      <c r="Q36" s="144"/>
      <c r="T36" s="144"/>
      <c r="U36" s="144"/>
      <c r="V36" s="294"/>
    </row>
    <row r="37" spans="1:25" ht="13" x14ac:dyDescent="0.3">
      <c r="A37" s="3" t="s">
        <v>38</v>
      </c>
      <c r="B37" s="399">
        <v>2001</v>
      </c>
      <c r="C37" s="399">
        <f t="shared" ref="C37:L37" si="62">+B37+1</f>
        <v>2002</v>
      </c>
      <c r="D37" s="399">
        <f t="shared" si="62"/>
        <v>2003</v>
      </c>
      <c r="E37" s="399">
        <f t="shared" si="62"/>
        <v>2004</v>
      </c>
      <c r="F37" s="399">
        <f t="shared" si="62"/>
        <v>2005</v>
      </c>
      <c r="G37" s="399">
        <f t="shared" si="62"/>
        <v>2006</v>
      </c>
      <c r="H37" s="399">
        <f t="shared" si="62"/>
        <v>2007</v>
      </c>
      <c r="I37" s="399">
        <f t="shared" si="62"/>
        <v>2008</v>
      </c>
      <c r="J37" s="399">
        <f t="shared" si="62"/>
        <v>2009</v>
      </c>
      <c r="K37" s="399">
        <f t="shared" si="62"/>
        <v>2010</v>
      </c>
      <c r="L37" s="399">
        <f t="shared" si="62"/>
        <v>2011</v>
      </c>
      <c r="M37" s="399">
        <v>2012</v>
      </c>
      <c r="N37" s="399">
        <v>2013</v>
      </c>
      <c r="O37" s="399">
        <v>2014</v>
      </c>
      <c r="P37" s="399">
        <v>2015</v>
      </c>
      <c r="Q37" s="399">
        <f>P37+1</f>
        <v>2016</v>
      </c>
      <c r="R37" s="399">
        <f t="shared" ref="R37:V37" si="63">Q37+1</f>
        <v>2017</v>
      </c>
      <c r="S37" s="399">
        <f t="shared" si="63"/>
        <v>2018</v>
      </c>
      <c r="T37" s="399">
        <f t="shared" si="63"/>
        <v>2019</v>
      </c>
      <c r="U37" s="399">
        <f t="shared" si="63"/>
        <v>2020</v>
      </c>
      <c r="V37" s="399">
        <f t="shared" si="63"/>
        <v>2021</v>
      </c>
      <c r="W37" s="399">
        <v>2022</v>
      </c>
      <c r="X37" s="399">
        <v>2023</v>
      </c>
    </row>
    <row r="38" spans="1:25" x14ac:dyDescent="0.25">
      <c r="A38" s="399" t="s">
        <v>71</v>
      </c>
      <c r="B38" s="122">
        <f t="shared" ref="B38:X38" si="64">C2/B2-1</f>
        <v>2.6085677592305956E-2</v>
      </c>
      <c r="C38" s="122">
        <f t="shared" si="64"/>
        <v>3.0233936189549837E-3</v>
      </c>
      <c r="D38" s="122">
        <f t="shared" si="64"/>
        <v>9.6129905755860889E-2</v>
      </c>
      <c r="E38" s="122">
        <f t="shared" si="64"/>
        <v>-2.4856892095497574E-2</v>
      </c>
      <c r="F38" s="122">
        <f t="shared" si="64"/>
        <v>-3.2445470521346165E-3</v>
      </c>
      <c r="G38" s="122">
        <f t="shared" si="64"/>
        <v>-1.0817635109814927E-2</v>
      </c>
      <c r="H38" s="122">
        <f t="shared" si="64"/>
        <v>-5.2408058735049501E-3</v>
      </c>
      <c r="I38" s="122">
        <f t="shared" si="64"/>
        <v>9.5559437267334069E-4</v>
      </c>
      <c r="J38" s="122">
        <f t="shared" si="64"/>
        <v>5.097522117635922E-3</v>
      </c>
      <c r="K38" s="122">
        <f t="shared" si="64"/>
        <v>-8.4755411775963019E-3</v>
      </c>
      <c r="L38" s="122">
        <f t="shared" si="64"/>
        <v>-3.5912121852226919E-2</v>
      </c>
      <c r="M38" s="122">
        <f t="shared" si="64"/>
        <v>-1.3460904233455473E-3</v>
      </c>
      <c r="N38" s="122">
        <f t="shared" si="64"/>
        <v>1.1759817040248421E-2</v>
      </c>
      <c r="O38" s="122">
        <f t="shared" si="64"/>
        <v>3.1360905669982397E-2</v>
      </c>
      <c r="P38" s="122">
        <f t="shared" si="64"/>
        <v>1.5165091263982022E-2</v>
      </c>
      <c r="Q38" s="122">
        <f t="shared" si="64"/>
        <v>1.315807648425471E-2</v>
      </c>
      <c r="R38" s="179">
        <f t="shared" si="64"/>
        <v>4.8180484586062278E-3</v>
      </c>
      <c r="S38" s="179">
        <f t="shared" si="64"/>
        <v>2.135474189512987E-2</v>
      </c>
      <c r="T38" s="459">
        <f t="shared" si="64"/>
        <v>4.7099692467104548E-2</v>
      </c>
      <c r="U38" s="458">
        <f t="shared" si="64"/>
        <v>2.4993022252670638E-3</v>
      </c>
      <c r="V38" s="458">
        <f t="shared" si="64"/>
        <v>3.9623381718320916E-2</v>
      </c>
      <c r="W38" s="458">
        <f t="shared" si="64"/>
        <v>1.7842970176506379E-2</v>
      </c>
      <c r="X38" s="458">
        <f t="shared" si="64"/>
        <v>-1.0714482191164776E-2</v>
      </c>
    </row>
    <row r="39" spans="1:25" x14ac:dyDescent="0.25">
      <c r="A39" s="399" t="s">
        <v>72</v>
      </c>
      <c r="B39" s="122">
        <f t="shared" ref="B39:X39" si="65">C3/B3-1</f>
        <v>-1.5443959243085836E-2</v>
      </c>
      <c r="C39" s="122">
        <f t="shared" si="65"/>
        <v>-3.0729312970327771E-2</v>
      </c>
      <c r="D39" s="122">
        <f t="shared" si="65"/>
        <v>-2.8739866230428346E-2</v>
      </c>
      <c r="E39" s="122">
        <f t="shared" si="65"/>
        <v>-2.3292810668961605E-2</v>
      </c>
      <c r="F39" s="122">
        <f t="shared" si="65"/>
        <v>-2.4878965673040931E-2</v>
      </c>
      <c r="G39" s="122">
        <f t="shared" si="65"/>
        <v>-3.6328979088411706E-2</v>
      </c>
      <c r="H39" s="122">
        <f t="shared" si="65"/>
        <v>-3.0792606762874986E-2</v>
      </c>
      <c r="I39" s="122">
        <f t="shared" si="65"/>
        <v>-2.5240541637978176E-2</v>
      </c>
      <c r="J39" s="122">
        <f t="shared" si="65"/>
        <v>-2.7004363079185634E-2</v>
      </c>
      <c r="K39" s="122">
        <f t="shared" si="65"/>
        <v>-1.646988308393349E-2</v>
      </c>
      <c r="L39" s="122">
        <f t="shared" si="65"/>
        <v>-1.8713981547196612E-2</v>
      </c>
      <c r="M39" s="122">
        <f t="shared" si="65"/>
        <v>-1.0418776169894284E-2</v>
      </c>
      <c r="N39" s="122">
        <f t="shared" si="65"/>
        <v>-1.6712630460839817E-2</v>
      </c>
      <c r="O39" s="122">
        <f t="shared" si="65"/>
        <v>-1.7450595627440446E-2</v>
      </c>
      <c r="P39" s="122">
        <f t="shared" si="65"/>
        <v>-2.0717925544576854E-2</v>
      </c>
      <c r="Q39" s="122">
        <f t="shared" si="65"/>
        <v>-1.6156609728161908E-2</v>
      </c>
      <c r="R39" s="122">
        <f t="shared" si="65"/>
        <v>-1.6212549178903357E-2</v>
      </c>
      <c r="S39" s="122">
        <f t="shared" si="65"/>
        <v>-1.9595615622007068E-2</v>
      </c>
      <c r="T39" s="122">
        <f t="shared" si="65"/>
        <v>-2.2199403876754897E-2</v>
      </c>
      <c r="U39" s="122">
        <f t="shared" si="65"/>
        <v>-1.6393697395968632E-2</v>
      </c>
      <c r="V39" s="122">
        <f t="shared" si="65"/>
        <v>-1.3926727805829375E-2</v>
      </c>
      <c r="W39" s="122">
        <f t="shared" si="65"/>
        <v>-1.5524317692274248E-2</v>
      </c>
      <c r="X39" s="122">
        <f t="shared" si="65"/>
        <v>-2.0228747608008746E-2</v>
      </c>
    </row>
    <row r="40" spans="1:25" x14ac:dyDescent="0.25">
      <c r="A40" s="399" t="s">
        <v>70</v>
      </c>
      <c r="B40" s="455">
        <f t="shared" ref="B40:X40" si="66">C4/B4-1</f>
        <v>2.520930605525229E-2</v>
      </c>
      <c r="C40" s="455">
        <f t="shared" si="66"/>
        <v>4.4315271076863727E-2</v>
      </c>
      <c r="D40" s="455">
        <f t="shared" si="66"/>
        <v>0.18868316232139448</v>
      </c>
      <c r="E40" s="455">
        <f t="shared" si="66"/>
        <v>4.849916302265278E-3</v>
      </c>
      <c r="F40" s="455">
        <f t="shared" si="66"/>
        <v>4.3070160001044133E-3</v>
      </c>
      <c r="G40" s="455">
        <f t="shared" si="66"/>
        <v>-2.3438032371145834E-3</v>
      </c>
      <c r="H40" s="455">
        <f t="shared" si="66"/>
        <v>4.745707582225922E-3</v>
      </c>
      <c r="I40" s="455">
        <f t="shared" si="66"/>
        <v>3.2923807987044418E-2</v>
      </c>
      <c r="J40" s="455">
        <f t="shared" si="66"/>
        <v>5.1779301806766931E-3</v>
      </c>
      <c r="K40" s="455">
        <f t="shared" si="66"/>
        <v>1.4896426869798196E-2</v>
      </c>
      <c r="L40" s="455">
        <f t="shared" si="66"/>
        <v>4.9977850487004094E-3</v>
      </c>
      <c r="M40" s="455">
        <f t="shared" si="66"/>
        <v>2.7051577443206742E-3</v>
      </c>
      <c r="N40" s="455">
        <f t="shared" si="66"/>
        <v>2.9706923359440474E-3</v>
      </c>
      <c r="O40" s="455">
        <f t="shared" si="66"/>
        <v>2.264679535212144E-3</v>
      </c>
      <c r="P40" s="455">
        <f t="shared" si="66"/>
        <v>3.6794014232287564E-2</v>
      </c>
      <c r="Q40" s="455">
        <f t="shared" si="66"/>
        <v>3.5526963098986286E-3</v>
      </c>
      <c r="R40" s="455">
        <f t="shared" si="66"/>
        <v>2.7692760727733967E-2</v>
      </c>
      <c r="S40" s="455">
        <f t="shared" si="66"/>
        <v>1.3533776891800908E-2</v>
      </c>
      <c r="T40" s="455">
        <f t="shared" si="66"/>
        <v>1.1853946271769278E-2</v>
      </c>
      <c r="U40" s="455">
        <f t="shared" si="66"/>
        <v>-1.3039965500791562E-2</v>
      </c>
      <c r="V40" s="455">
        <f t="shared" si="66"/>
        <v>4.9989963124843495E-2</v>
      </c>
      <c r="W40" s="455">
        <f t="shared" si="66"/>
        <v>9.7283904766236606E-3</v>
      </c>
      <c r="X40" s="455">
        <f t="shared" si="66"/>
        <v>1.1142703175331503E-2</v>
      </c>
    </row>
    <row r="41" spans="1:25" x14ac:dyDescent="0.25">
      <c r="A41" s="399" t="str">
        <f>A32</f>
        <v>Régime des indépendants SSI</v>
      </c>
      <c r="B41" s="122">
        <f t="shared" ref="B41:X41" si="67">C5/B5-1</f>
        <v>1.4220815212948379E-2</v>
      </c>
      <c r="C41" s="122">
        <f t="shared" si="67"/>
        <v>-3.1390972615273904E-3</v>
      </c>
      <c r="D41" s="122">
        <f t="shared" si="67"/>
        <v>2.9581240453759206E-2</v>
      </c>
      <c r="E41" s="122">
        <f t="shared" si="67"/>
        <v>3.6758188887018983E-2</v>
      </c>
      <c r="F41" s="122">
        <f t="shared" si="67"/>
        <v>3.7594229053181216E-2</v>
      </c>
      <c r="G41" s="122">
        <f t="shared" si="67"/>
        <v>-1.40089258566648E-2</v>
      </c>
      <c r="H41" s="122">
        <f t="shared" si="67"/>
        <v>3.5995895947125822E-2</v>
      </c>
      <c r="I41" s="122">
        <f t="shared" si="67"/>
        <v>5.4100900909391569E-2</v>
      </c>
      <c r="J41" s="122">
        <f t="shared" si="67"/>
        <v>7.3203039216296339E-4</v>
      </c>
      <c r="K41" s="122">
        <f t="shared" si="67"/>
        <v>7.0573246022374914E-2</v>
      </c>
      <c r="L41" s="122">
        <f t="shared" si="67"/>
        <v>4.3542799703531365E-2</v>
      </c>
      <c r="M41" s="122">
        <f t="shared" si="67"/>
        <v>-2.1669786742800956E-2</v>
      </c>
      <c r="N41" s="122">
        <f t="shared" si="67"/>
        <v>-5.6089115891393426E-3</v>
      </c>
      <c r="O41" s="122">
        <f t="shared" si="67"/>
        <v>-2.7161496848512878E-2</v>
      </c>
      <c r="P41" s="122">
        <f t="shared" si="67"/>
        <v>-1.772012136857215E-2</v>
      </c>
      <c r="Q41" s="122">
        <f t="shared" si="67"/>
        <v>0.10245080187989442</v>
      </c>
      <c r="R41" s="122">
        <f t="shared" si="67"/>
        <v>9.5301478391144112E-2</v>
      </c>
      <c r="S41" s="122">
        <f t="shared" si="67"/>
        <v>4.1003270501783762E-2</v>
      </c>
      <c r="T41" s="122">
        <f t="shared" si="67"/>
        <v>0.14021690098596018</v>
      </c>
      <c r="U41" s="122">
        <f t="shared" si="67"/>
        <v>8.7542612954338184E-2</v>
      </c>
      <c r="V41" s="122">
        <f t="shared" si="67"/>
        <v>0.12578825472860866</v>
      </c>
      <c r="W41" s="122">
        <f t="shared" si="67"/>
        <v>6.9562542561279139E-2</v>
      </c>
      <c r="X41" s="122">
        <f t="shared" si="67"/>
        <v>4.8802509790980553E-2</v>
      </c>
    </row>
    <row r="42" spans="1:25" x14ac:dyDescent="0.25">
      <c r="A42" s="421" t="s">
        <v>36</v>
      </c>
      <c r="B42" s="454">
        <f t="shared" ref="B42:X42" si="68">C6/B6-1</f>
        <v>1.0438804528710932E-2</v>
      </c>
      <c r="C42" s="454">
        <f t="shared" si="68"/>
        <v>1.2455410680423551E-2</v>
      </c>
      <c r="D42" s="454">
        <f t="shared" si="68"/>
        <v>1.015198156860464E-2</v>
      </c>
      <c r="E42" s="454">
        <f t="shared" si="68"/>
        <v>1.4932144215200394E-2</v>
      </c>
      <c r="F42" s="454">
        <f t="shared" si="68"/>
        <v>5.9190492961402885E-3</v>
      </c>
      <c r="G42" s="454">
        <f t="shared" si="68"/>
        <v>2.8281578264128804E-3</v>
      </c>
      <c r="H42" s="454">
        <f t="shared" si="68"/>
        <v>-2.2546479181198009E-3</v>
      </c>
      <c r="I42" s="454">
        <f t="shared" si="68"/>
        <v>-5.9816391203438846E-3</v>
      </c>
      <c r="J42" s="454">
        <f t="shared" si="68"/>
        <v>-7.6643326919778598E-4</v>
      </c>
      <c r="K42" s="454">
        <f t="shared" si="68"/>
        <v>2.1339578040873164E-3</v>
      </c>
      <c r="L42" s="454">
        <f t="shared" si="68"/>
        <v>2.5173469661506021E-2</v>
      </c>
      <c r="M42" s="454">
        <f t="shared" si="68"/>
        <v>-1.9910591281211421E-3</v>
      </c>
      <c r="N42" s="454">
        <f t="shared" si="68"/>
        <v>6.9227688274955401E-3</v>
      </c>
      <c r="O42" s="454">
        <f t="shared" si="68"/>
        <v>7.5583729243744457E-4</v>
      </c>
      <c r="P42" s="454">
        <f t="shared" si="68"/>
        <v>5.1786112897489467E-3</v>
      </c>
      <c r="Q42" s="454">
        <f t="shared" si="68"/>
        <v>1.0070194751279127E-2</v>
      </c>
      <c r="R42" s="454">
        <f t="shared" si="68"/>
        <v>1.7442114871509373E-2</v>
      </c>
      <c r="S42" s="454">
        <f t="shared" si="68"/>
        <v>2.4458491677380234E-2</v>
      </c>
      <c r="T42" s="454">
        <f t="shared" si="68"/>
        <v>-3.5938640763549023E-2</v>
      </c>
      <c r="U42" s="454">
        <f t="shared" si="68"/>
        <v>-1.8131420226786599E-2</v>
      </c>
      <c r="V42" s="454">
        <f t="shared" si="68"/>
        <v>-8.1394249529214147E-3</v>
      </c>
      <c r="W42" s="454">
        <f t="shared" si="68"/>
        <v>4.7071167240189116E-3</v>
      </c>
      <c r="X42" s="454">
        <f t="shared" si="68"/>
        <v>-6.050784983035129E-3</v>
      </c>
    </row>
    <row r="43" spans="1:25" x14ac:dyDescent="0.25">
      <c r="A43" s="422" t="s">
        <v>37</v>
      </c>
      <c r="B43" s="453">
        <f t="shared" ref="B43:X43" si="69">C7/B7-1</f>
        <v>2.0229146069931314E-2</v>
      </c>
      <c r="C43" s="453">
        <f t="shared" si="69"/>
        <v>3.1708899944971503E-2</v>
      </c>
      <c r="D43" s="453">
        <f t="shared" si="69"/>
        <v>0.13453110023613646</v>
      </c>
      <c r="E43" s="453">
        <f t="shared" si="69"/>
        <v>6.6602434166740387E-3</v>
      </c>
      <c r="F43" s="453">
        <f t="shared" si="69"/>
        <v>5.2104479828338768E-3</v>
      </c>
      <c r="G43" s="453">
        <f t="shared" si="69"/>
        <v>-2.8394512711951148E-3</v>
      </c>
      <c r="H43" s="453">
        <f t="shared" si="69"/>
        <v>3.7717705714714889E-3</v>
      </c>
      <c r="I43" s="453">
        <f t="shared" si="69"/>
        <v>2.440838908166798E-2</v>
      </c>
      <c r="J43" s="453">
        <f t="shared" si="69"/>
        <v>3.2313479620900143E-3</v>
      </c>
      <c r="K43" s="453">
        <f t="shared" si="69"/>
        <v>1.3971152941130383E-2</v>
      </c>
      <c r="L43" s="453">
        <f t="shared" si="69"/>
        <v>9.1821315390268055E-3</v>
      </c>
      <c r="M43" s="453">
        <f t="shared" si="69"/>
        <v>2.4624396242112212E-4</v>
      </c>
      <c r="N43" s="453">
        <f t="shared" si="69"/>
        <v>3.1340415595424442E-3</v>
      </c>
      <c r="O43" s="453">
        <f t="shared" si="69"/>
        <v>8.6220153783211906E-4</v>
      </c>
      <c r="P43" s="453">
        <f t="shared" si="69"/>
        <v>2.6743845143019973E-2</v>
      </c>
      <c r="Q43" s="453">
        <f t="shared" si="69"/>
        <v>9.2465884005050736E-3</v>
      </c>
      <c r="R43" s="453">
        <f t="shared" si="69"/>
        <v>2.79993563957317E-2</v>
      </c>
      <c r="S43" s="453">
        <f t="shared" si="69"/>
        <v>1.6681963729993754E-2</v>
      </c>
      <c r="T43" s="453">
        <f t="shared" si="69"/>
        <v>1.0570265640523768E-2</v>
      </c>
      <c r="U43" s="453">
        <f t="shared" si="69"/>
        <v>-7.3161352864371532E-3</v>
      </c>
      <c r="V43" s="453">
        <f t="shared" si="69"/>
        <v>4.4011451817465463E-2</v>
      </c>
      <c r="W43" s="453">
        <f t="shared" si="69"/>
        <v>1.318542809351686E-2</v>
      </c>
      <c r="X43" s="453">
        <f t="shared" si="69"/>
        <v>1.0338997330333166E-2</v>
      </c>
    </row>
    <row r="44" spans="1:25" x14ac:dyDescent="0.25">
      <c r="B44" s="70"/>
      <c r="C44" s="70"/>
      <c r="D44" s="70"/>
      <c r="E44" s="70"/>
      <c r="F44" s="70"/>
      <c r="G44" s="70"/>
      <c r="H44" s="70"/>
      <c r="I44" s="113"/>
      <c r="J44" s="70"/>
      <c r="K44" s="70"/>
      <c r="L44" s="113"/>
      <c r="M44" s="113"/>
      <c r="N44" s="113"/>
      <c r="O44" s="113"/>
      <c r="P44" s="133"/>
      <c r="Q44" s="133"/>
      <c r="R44" s="122"/>
      <c r="T44" s="122"/>
      <c r="U44" s="122"/>
      <c r="V44" s="122"/>
      <c r="W44" s="122"/>
      <c r="X44" s="122"/>
    </row>
    <row r="45" spans="1:25" ht="13" thickBot="1" x14ac:dyDescent="0.3">
      <c r="A45" s="6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133"/>
      <c r="Q45" s="133"/>
      <c r="R45" s="122"/>
      <c r="S45" s="122"/>
      <c r="T45" s="122"/>
      <c r="U45" s="122"/>
      <c r="V45" s="122"/>
      <c r="W45" s="122"/>
      <c r="X45" s="122"/>
    </row>
    <row r="46" spans="1:25" ht="13" x14ac:dyDescent="0.3">
      <c r="A46" s="3" t="s">
        <v>39</v>
      </c>
      <c r="B46" s="399">
        <v>2001</v>
      </c>
      <c r="C46" s="399">
        <f t="shared" ref="C46:L46" si="70">+B46+1</f>
        <v>2002</v>
      </c>
      <c r="D46" s="399">
        <f t="shared" si="70"/>
        <v>2003</v>
      </c>
      <c r="E46" s="399">
        <f t="shared" si="70"/>
        <v>2004</v>
      </c>
      <c r="F46" s="399">
        <f t="shared" si="70"/>
        <v>2005</v>
      </c>
      <c r="G46" s="399">
        <f t="shared" si="70"/>
        <v>2006</v>
      </c>
      <c r="H46" s="399">
        <f t="shared" si="70"/>
        <v>2007</v>
      </c>
      <c r="I46" s="399">
        <f t="shared" si="70"/>
        <v>2008</v>
      </c>
      <c r="J46" s="399">
        <f t="shared" si="70"/>
        <v>2009</v>
      </c>
      <c r="K46" s="399">
        <f t="shared" si="70"/>
        <v>2010</v>
      </c>
      <c r="L46" s="399">
        <f t="shared" si="70"/>
        <v>2011</v>
      </c>
      <c r="M46" s="399">
        <f>+L46+1</f>
        <v>2012</v>
      </c>
      <c r="N46" s="399">
        <f>+M46+1</f>
        <v>2013</v>
      </c>
      <c r="O46" s="399">
        <f>+N46+1</f>
        <v>2014</v>
      </c>
      <c r="P46" s="399">
        <f>+O46+1</f>
        <v>2015</v>
      </c>
      <c r="Q46" s="399">
        <f>+P46+1</f>
        <v>2016</v>
      </c>
      <c r="R46" s="399">
        <f t="shared" ref="R46:X46" si="71">+Q46+1</f>
        <v>2017</v>
      </c>
      <c r="S46" s="399">
        <f t="shared" si="71"/>
        <v>2018</v>
      </c>
      <c r="T46" s="399">
        <f t="shared" si="71"/>
        <v>2019</v>
      </c>
      <c r="U46" s="399">
        <f t="shared" si="71"/>
        <v>2020</v>
      </c>
      <c r="V46" s="399">
        <f t="shared" si="71"/>
        <v>2021</v>
      </c>
      <c r="W46" s="399">
        <f t="shared" si="71"/>
        <v>2022</v>
      </c>
      <c r="X46" s="485">
        <f t="shared" si="71"/>
        <v>2023</v>
      </c>
    </row>
    <row r="47" spans="1:25" x14ac:dyDescent="0.25">
      <c r="A47" s="399" t="s">
        <v>0</v>
      </c>
      <c r="B47" s="122">
        <f t="shared" ref="B47:Q47" si="72">C12/B12-1</f>
        <v>1.5802163800051172E-2</v>
      </c>
      <c r="C47" s="122">
        <f t="shared" si="72"/>
        <v>1.105035203236171E-2</v>
      </c>
      <c r="D47" s="122">
        <f t="shared" si="72"/>
        <v>1.1342418016799805E-2</v>
      </c>
      <c r="E47" s="122">
        <f t="shared" si="72"/>
        <v>3.2489781854321276E-3</v>
      </c>
      <c r="F47" s="122">
        <f t="shared" si="72"/>
        <v>5.3203214107213626E-3</v>
      </c>
      <c r="G47" s="122">
        <f t="shared" si="72"/>
        <v>-3.9899982344576701E-3</v>
      </c>
      <c r="H47" s="122">
        <f t="shared" si="72"/>
        <v>-3.4178834463988172E-3</v>
      </c>
      <c r="I47" s="122">
        <f t="shared" si="72"/>
        <v>-4.4249037771251221E-3</v>
      </c>
      <c r="J47" s="122">
        <f t="shared" si="72"/>
        <v>-2.7424632247420311E-3</v>
      </c>
      <c r="K47" s="122">
        <f t="shared" si="72"/>
        <v>-8.7758273783307139E-3</v>
      </c>
      <c r="L47" s="122">
        <f t="shared" si="72"/>
        <v>1.0878175139141799E-2</v>
      </c>
      <c r="M47" s="122">
        <f t="shared" si="72"/>
        <v>8.1011720267840648E-3</v>
      </c>
      <c r="N47" s="122">
        <f t="shared" si="72"/>
        <v>1.0948673769858974E-2</v>
      </c>
      <c r="O47" s="122">
        <f>P12/O12-1</f>
        <v>1.7168556233861709E-2</v>
      </c>
      <c r="P47" s="122">
        <f t="shared" si="72"/>
        <v>1.3136091720290954E-2</v>
      </c>
      <c r="Q47" s="122">
        <f t="shared" si="72"/>
        <v>1.4441243856477826E-2</v>
      </c>
      <c r="R47" s="122">
        <f t="shared" ref="R47:X47" si="73">S12/R12-1</f>
        <v>8.9274679578053018E-3</v>
      </c>
      <c r="S47" s="122">
        <f t="shared" si="73"/>
        <v>1.2341987255700237E-2</v>
      </c>
      <c r="T47" s="122">
        <f t="shared" si="73"/>
        <v>9.3687386041854115E-3</v>
      </c>
      <c r="U47" s="122">
        <f t="shared" si="73"/>
        <v>5.03313998005539E-3</v>
      </c>
      <c r="V47" s="122">
        <f t="shared" si="73"/>
        <v>-1.7736799576211215E-2</v>
      </c>
      <c r="W47" s="122">
        <f t="shared" si="73"/>
        <v>-1.4317679503747405E-2</v>
      </c>
      <c r="X47" s="486">
        <f t="shared" si="73"/>
        <v>-2.076335619706049E-2</v>
      </c>
    </row>
    <row r="48" spans="1:25" x14ac:dyDescent="0.25">
      <c r="A48" s="399" t="s">
        <v>1</v>
      </c>
      <c r="B48" s="122">
        <f t="shared" ref="B48:Q48" si="74">C13/B13-1</f>
        <v>-3.2115323100316839E-3</v>
      </c>
      <c r="C48" s="122">
        <f t="shared" si="74"/>
        <v>-5.1421010467911366E-3</v>
      </c>
      <c r="D48" s="122">
        <f t="shared" si="74"/>
        <v>-9.4409470398867379E-3</v>
      </c>
      <c r="E48" s="122">
        <f t="shared" si="74"/>
        <v>-8.1322012160841561E-3</v>
      </c>
      <c r="F48" s="122">
        <f t="shared" si="74"/>
        <v>-1.4464756430631054E-2</v>
      </c>
      <c r="G48" s="122">
        <f t="shared" si="74"/>
        <v>-2.2406651024014401E-2</v>
      </c>
      <c r="H48" s="122">
        <f t="shared" si="74"/>
        <v>-2.1511469985430964E-2</v>
      </c>
      <c r="I48" s="122">
        <f t="shared" si="74"/>
        <v>-2.4278974457330293E-2</v>
      </c>
      <c r="J48" s="122">
        <f t="shared" si="74"/>
        <v>-3.3640662351257733E-2</v>
      </c>
      <c r="K48" s="122">
        <f t="shared" si="74"/>
        <v>-2.5972818101281714E-2</v>
      </c>
      <c r="L48" s="122">
        <f t="shared" si="74"/>
        <v>-2.3148889165195974E-2</v>
      </c>
      <c r="M48" s="122">
        <f t="shared" si="74"/>
        <v>-2.009551275695165E-2</v>
      </c>
      <c r="N48" s="122">
        <f t="shared" si="74"/>
        <v>-2.3260537105120993E-2</v>
      </c>
      <c r="O48" s="122">
        <f t="shared" si="74"/>
        <v>-2.1128255919636851E-2</v>
      </c>
      <c r="P48" s="122">
        <f t="shared" si="74"/>
        <v>-2.6241708457049762E-2</v>
      </c>
      <c r="Q48" s="122">
        <f t="shared" si="74"/>
        <v>-2.7144823288733355E-2</v>
      </c>
      <c r="R48" s="122">
        <f t="shared" ref="R48:R52" si="75">S13/R13-1</f>
        <v>-3.1564335003315902E-2</v>
      </c>
      <c r="S48" s="122">
        <f t="shared" ref="S48:V50" si="76">T13/S13-1</f>
        <v>-3.3214918036542418E-2</v>
      </c>
      <c r="T48" s="122">
        <f t="shared" si="76"/>
        <v>-3.3346450529130767E-2</v>
      </c>
      <c r="U48" s="122">
        <f t="shared" si="76"/>
        <v>-3.2295003462461391E-2</v>
      </c>
      <c r="V48" s="122">
        <f t="shared" si="76"/>
        <v>-3.895013579261819E-2</v>
      </c>
      <c r="W48" s="122">
        <f t="shared" ref="W48:X52" si="77">X13/W13-1</f>
        <v>-3.6225840340089688E-2</v>
      </c>
      <c r="X48" s="486">
        <f t="shared" si="77"/>
        <v>-3.3850511562034558E-2</v>
      </c>
    </row>
    <row r="49" spans="1:24" x14ac:dyDescent="0.25">
      <c r="A49" s="399" t="s">
        <v>2</v>
      </c>
      <c r="B49" s="457">
        <f t="shared" ref="B49:Q49" si="78">C14/B14-1</f>
        <v>2.7612955819988239E-2</v>
      </c>
      <c r="C49" s="457">
        <f t="shared" si="78"/>
        <v>2.5880009898848311E-2</v>
      </c>
      <c r="D49" s="457">
        <f t="shared" si="78"/>
        <v>2.4791664157963078E-2</v>
      </c>
      <c r="E49" s="457">
        <f t="shared" si="78"/>
        <v>2.0660508912599296E-2</v>
      </c>
      <c r="F49" s="457">
        <f t="shared" si="78"/>
        <v>2.3977508368852485E-2</v>
      </c>
      <c r="G49" s="457">
        <f t="shared" si="78"/>
        <v>2.242079745086345E-2</v>
      </c>
      <c r="H49" s="457">
        <f t="shared" si="78"/>
        <v>1.948623736973798E-2</v>
      </c>
      <c r="I49" s="457">
        <f t="shared" si="78"/>
        <v>2.0861278529893834E-2</v>
      </c>
      <c r="J49" s="457">
        <f t="shared" si="78"/>
        <v>2.2235082475851264E-2</v>
      </c>
      <c r="K49" s="457">
        <f t="shared" si="78"/>
        <v>2.2490015878199987E-2</v>
      </c>
      <c r="L49" s="457">
        <f t="shared" si="78"/>
        <v>2.8948922895169149E-2</v>
      </c>
      <c r="M49" s="457">
        <f t="shared" si="78"/>
        <v>3.6793197309421766E-2</v>
      </c>
      <c r="N49" s="457">
        <f t="shared" si="78"/>
        <v>3.5753229373614248E-2</v>
      </c>
      <c r="O49" s="457">
        <f t="shared" si="78"/>
        <v>3.6330677992866489E-2</v>
      </c>
      <c r="P49" s="457">
        <f t="shared" si="78"/>
        <v>3.095531700295906E-2</v>
      </c>
      <c r="Q49" s="457">
        <f t="shared" si="78"/>
        <v>2.9855024905311778E-2</v>
      </c>
      <c r="R49" s="457">
        <f t="shared" si="75"/>
        <v>2.0177260933665009E-2</v>
      </c>
      <c r="S49" s="457">
        <f t="shared" si="76"/>
        <v>2.2911642795555132E-2</v>
      </c>
      <c r="T49" s="457">
        <f t="shared" si="76"/>
        <v>2.254958117480288E-2</v>
      </c>
      <c r="U49" s="457">
        <f t="shared" si="76"/>
        <v>2.0106125094200955E-2</v>
      </c>
      <c r="V49" s="457">
        <f t="shared" si="76"/>
        <v>8.467615557019581E-3</v>
      </c>
      <c r="W49" s="457">
        <f t="shared" si="77"/>
        <v>1.3135462612368975E-2</v>
      </c>
      <c r="X49" s="487">
        <f t="shared" si="77"/>
        <v>1.5729390259411336E-2</v>
      </c>
    </row>
    <row r="50" spans="1:24" x14ac:dyDescent="0.25">
      <c r="A50" s="450" t="s">
        <v>103</v>
      </c>
      <c r="B50" s="456">
        <f t="shared" ref="B50:Q50" si="79">C15/B15-1</f>
        <v>2.003365962840653E-2</v>
      </c>
      <c r="C50" s="456">
        <f t="shared" si="79"/>
        <v>1.1854444820807553E-2</v>
      </c>
      <c r="D50" s="456">
        <f t="shared" si="79"/>
        <v>1.3021219364940606E-2</v>
      </c>
      <c r="E50" s="456">
        <f t="shared" si="79"/>
        <v>1.2125100178407289E-2</v>
      </c>
      <c r="F50" s="456">
        <f t="shared" si="79"/>
        <v>1.9587886494047968E-2</v>
      </c>
      <c r="G50" s="456">
        <f t="shared" si="79"/>
        <v>1.2622091336198737E-2</v>
      </c>
      <c r="H50" s="456">
        <f t="shared" si="79"/>
        <v>1.5832035017434576E-2</v>
      </c>
      <c r="I50" s="456">
        <f t="shared" si="79"/>
        <v>1.785205661534861E-2</v>
      </c>
      <c r="J50" s="456">
        <f t="shared" si="79"/>
        <v>1.9421993343820443E-2</v>
      </c>
      <c r="K50" s="456">
        <f t="shared" si="79"/>
        <v>1.9897106869942283E-2</v>
      </c>
      <c r="L50" s="456">
        <f t="shared" si="79"/>
        <v>2.7433549610433428E-2</v>
      </c>
      <c r="M50" s="456">
        <f t="shared" si="79"/>
        <v>3.7699682120673206E-2</v>
      </c>
      <c r="N50" s="456">
        <f t="shared" si="79"/>
        <v>3.3908371017841832E-2</v>
      </c>
      <c r="O50" s="456">
        <f t="shared" si="79"/>
        <v>3.5061866747220005E-2</v>
      </c>
      <c r="P50" s="456">
        <f t="shared" si="79"/>
        <v>3.4163065327900366E-2</v>
      </c>
      <c r="Q50" s="456">
        <f t="shared" si="79"/>
        <v>3.205689501644593E-2</v>
      </c>
      <c r="R50" s="456">
        <f t="shared" si="75"/>
        <v>2.4637608267695565E-2</v>
      </c>
      <c r="S50" s="456">
        <f t="shared" si="76"/>
        <v>-2.219721067473801E-2</v>
      </c>
      <c r="T50" s="456">
        <f t="shared" si="76"/>
        <v>2.5025877867776769E-2</v>
      </c>
      <c r="U50" s="456">
        <f t="shared" si="76"/>
        <v>1.8519297717990435E-2</v>
      </c>
      <c r="V50" s="456">
        <f t="shared" si="76"/>
        <v>5.8696486947193982E-3</v>
      </c>
      <c r="W50" s="456">
        <f t="shared" si="77"/>
        <v>-4.6839378796509124E-2</v>
      </c>
      <c r="X50" s="488">
        <f t="shared" si="77"/>
        <v>-2.8362381841068429E-2</v>
      </c>
    </row>
    <row r="51" spans="1:24" x14ac:dyDescent="0.25">
      <c r="A51" s="421" t="s">
        <v>36</v>
      </c>
      <c r="B51" s="454">
        <f t="shared" ref="B51:Q51" si="80">C16/B16-1</f>
        <v>2.0906888079492925E-2</v>
      </c>
      <c r="C51" s="454">
        <f t="shared" si="80"/>
        <v>3.2584812092703697E-2</v>
      </c>
      <c r="D51" s="454">
        <f t="shared" si="80"/>
        <v>2.136988968688458E-2</v>
      </c>
      <c r="E51" s="454">
        <f t="shared" si="80"/>
        <v>2.0391179220207833E-2</v>
      </c>
      <c r="F51" s="454">
        <f t="shared" si="80"/>
        <v>2.1877657780750237E-2</v>
      </c>
      <c r="G51" s="454">
        <f t="shared" si="80"/>
        <v>-2.2382193496149783E-2</v>
      </c>
      <c r="H51" s="454">
        <f t="shared" si="80"/>
        <v>1.8501792070499068E-2</v>
      </c>
      <c r="I51" s="454">
        <f t="shared" si="80"/>
        <v>2.6065357353824758E-2</v>
      </c>
      <c r="J51" s="454">
        <f t="shared" si="80"/>
        <v>3.0470975411423851E-2</v>
      </c>
      <c r="K51" s="454">
        <f t="shared" si="80"/>
        <v>2.2173398303640734E-2</v>
      </c>
      <c r="L51" s="454">
        <f t="shared" si="80"/>
        <v>3.7143684519737041E-2</v>
      </c>
      <c r="M51" s="454">
        <f t="shared" si="80"/>
        <v>5.0877695659157673E-2</v>
      </c>
      <c r="N51" s="454">
        <f t="shared" si="80"/>
        <v>4.9574964920049647E-2</v>
      </c>
      <c r="O51" s="454">
        <f t="shared" si="80"/>
        <v>4.6651106786378183E-2</v>
      </c>
      <c r="P51" s="454">
        <f t="shared" si="80"/>
        <v>4.6089500702583219E-2</v>
      </c>
      <c r="Q51" s="454">
        <f t="shared" si="80"/>
        <v>3.9297000525846171E-2</v>
      </c>
      <c r="R51" s="454">
        <f t="shared" si="75"/>
        <v>3.4566984019528846E-2</v>
      </c>
      <c r="S51" s="454">
        <f t="shared" ref="S51:V52" si="81">T16/S16-1</f>
        <v>3.4469456986914393E-2</v>
      </c>
      <c r="T51" s="454">
        <f t="shared" si="81"/>
        <v>3.5908378655189699E-2</v>
      </c>
      <c r="U51" s="454">
        <f t="shared" si="81"/>
        <v>3.4139396579689008E-2</v>
      </c>
      <c r="V51" s="454">
        <f t="shared" si="81"/>
        <v>3.7814566263997706E-2</v>
      </c>
      <c r="W51" s="454">
        <f t="shared" si="77"/>
        <v>3.1295409548548925E-2</v>
      </c>
      <c r="X51" s="489">
        <f t="shared" si="77"/>
        <v>2.8507176980364646E-2</v>
      </c>
    </row>
    <row r="52" spans="1:24" ht="13" thickBot="1" x14ac:dyDescent="0.3">
      <c r="A52" s="422" t="s">
        <v>37</v>
      </c>
      <c r="B52" s="453">
        <f t="shared" ref="B52:Q52" si="82">C17/B17-1</f>
        <v>2.0791500674449459E-2</v>
      </c>
      <c r="C52" s="453">
        <f t="shared" si="82"/>
        <v>2.0111908303043435E-2</v>
      </c>
      <c r="D52" s="453">
        <f t="shared" si="82"/>
        <v>1.77037095532806E-2</v>
      </c>
      <c r="E52" s="453">
        <f t="shared" si="82"/>
        <v>1.4583115363271615E-2</v>
      </c>
      <c r="F52" s="453">
        <f t="shared" si="82"/>
        <v>1.6777500919625599E-2</v>
      </c>
      <c r="G52" s="453">
        <f t="shared" si="82"/>
        <v>7.5327496727868315E-3</v>
      </c>
      <c r="H52" s="453">
        <f t="shared" si="82"/>
        <v>1.2071474790253278E-2</v>
      </c>
      <c r="I52" s="453">
        <f t="shared" si="82"/>
        <v>1.381644364598178E-2</v>
      </c>
      <c r="J52" s="453">
        <f t="shared" si="82"/>
        <v>1.4776831508726218E-2</v>
      </c>
      <c r="K52" s="453">
        <f t="shared" si="82"/>
        <v>1.4293063583455945E-2</v>
      </c>
      <c r="L52" s="453">
        <f t="shared" si="82"/>
        <v>2.3248609215518856E-2</v>
      </c>
      <c r="M52" s="453">
        <f t="shared" si="82"/>
        <v>3.0889807944276537E-2</v>
      </c>
      <c r="N52" s="453">
        <f t="shared" si="82"/>
        <v>3.0149608915993165E-2</v>
      </c>
      <c r="O52" s="453">
        <f t="shared" si="82"/>
        <v>3.1261245268634719E-2</v>
      </c>
      <c r="P52" s="453">
        <f t="shared" si="82"/>
        <v>2.737485594714717E-2</v>
      </c>
      <c r="Q52" s="453">
        <f t="shared" si="82"/>
        <v>2.5866416065868147E-2</v>
      </c>
      <c r="R52" s="453">
        <f t="shared" si="75"/>
        <v>1.8117447453472213E-2</v>
      </c>
      <c r="S52" s="453">
        <f t="shared" si="81"/>
        <v>1.6530320626710227E-2</v>
      </c>
      <c r="T52" s="453">
        <f t="shared" si="81"/>
        <v>2.0163178551234173E-2</v>
      </c>
      <c r="U52" s="453">
        <f t="shared" si="81"/>
        <v>1.7791945559703981E-2</v>
      </c>
      <c r="V52" s="453">
        <f t="shared" si="81"/>
        <v>8.0974920038168197E-3</v>
      </c>
      <c r="W52" s="453">
        <f t="shared" si="77"/>
        <v>6.6674117896361462E-3</v>
      </c>
      <c r="X52" s="490">
        <f t="shared" si="77"/>
        <v>9.1776565306838087E-3</v>
      </c>
    </row>
    <row r="53" spans="1:24" x14ac:dyDescent="0.25">
      <c r="N53" s="133"/>
    </row>
  </sheetData>
  <mergeCells count="2">
    <mergeCell ref="AE8:AF8"/>
    <mergeCell ref="AE18:AF18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5">
    <tabColor indexed="24"/>
  </sheetPr>
  <dimension ref="A1:O136"/>
  <sheetViews>
    <sheetView topLeftCell="A112" zoomScale="80" zoomScaleNormal="80" zoomScaleSheetLayoutView="100" workbookViewId="0">
      <selection activeCell="A113" sqref="A113:A114"/>
    </sheetView>
  </sheetViews>
  <sheetFormatPr baseColWidth="10" defaultRowHeight="12.5" x14ac:dyDescent="0.25"/>
  <cols>
    <col min="1" max="1" width="49.81640625" customWidth="1"/>
    <col min="2" max="5" width="15.7265625" style="83" customWidth="1"/>
    <col min="6" max="6" width="21.54296875" style="83" customWidth="1"/>
    <col min="7" max="7" width="10.453125" customWidth="1"/>
    <col min="8" max="8" width="13.26953125" bestFit="1" customWidth="1"/>
    <col min="9" max="9" width="10.1796875" bestFit="1" customWidth="1"/>
  </cols>
  <sheetData>
    <row r="1" spans="1:6" x14ac:dyDescent="0.25">
      <c r="A1" s="548" t="s">
        <v>139</v>
      </c>
      <c r="B1" s="554">
        <v>2018</v>
      </c>
      <c r="C1" s="555"/>
      <c r="D1" s="554">
        <v>2000</v>
      </c>
      <c r="E1" s="555"/>
    </row>
    <row r="2" spans="1:6" x14ac:dyDescent="0.25">
      <c r="A2" s="549"/>
      <c r="B2" s="94" t="s">
        <v>41</v>
      </c>
      <c r="C2" s="94" t="s">
        <v>91</v>
      </c>
      <c r="D2" s="94" t="s">
        <v>41</v>
      </c>
      <c r="E2" s="94" t="s">
        <v>91</v>
      </c>
    </row>
    <row r="3" spans="1:6" ht="14.5" x14ac:dyDescent="0.25">
      <c r="A3" s="87" t="s">
        <v>75</v>
      </c>
      <c r="B3" s="88">
        <f>'DonnéesGraph ok'!T4</f>
        <v>22956237</v>
      </c>
      <c r="C3" s="89">
        <f t="shared" ref="C3:C10" si="0">B3/$B$10</f>
        <v>0.72390885174723041</v>
      </c>
      <c r="D3" s="88">
        <f>'Effectifs ok'!B4</f>
        <v>15413792</v>
      </c>
      <c r="E3" s="89">
        <f>D3/$D$10</f>
        <v>0.67243589022089467</v>
      </c>
    </row>
    <row r="4" spans="1:6" ht="14.5" x14ac:dyDescent="0.25">
      <c r="A4" s="95" t="s">
        <v>73</v>
      </c>
      <c r="B4" s="92">
        <f>B5+B6</f>
        <v>752765</v>
      </c>
      <c r="C4" s="89">
        <f t="shared" si="0"/>
        <v>2.3737916923644929E-2</v>
      </c>
      <c r="D4" s="92">
        <f>'Effectifs ok'!B2</f>
        <v>659519</v>
      </c>
      <c r="E4" s="89">
        <f>D4/$D$10</f>
        <v>2.8771910629298375E-2</v>
      </c>
    </row>
    <row r="5" spans="1:6" ht="13" x14ac:dyDescent="0.3">
      <c r="A5" s="97" t="s">
        <v>98</v>
      </c>
      <c r="B5" s="176">
        <v>682728</v>
      </c>
      <c r="C5" s="169">
        <f t="shared" si="0"/>
        <v>2.1529349193235944E-2</v>
      </c>
      <c r="D5" s="98"/>
      <c r="E5" s="89"/>
    </row>
    <row r="6" spans="1:6" ht="13" x14ac:dyDescent="0.3">
      <c r="A6" s="99" t="s">
        <v>99</v>
      </c>
      <c r="B6" s="177">
        <v>70037</v>
      </c>
      <c r="C6" s="169">
        <f t="shared" si="0"/>
        <v>2.2085677304089853E-3</v>
      </c>
      <c r="D6" s="100"/>
      <c r="E6" s="89"/>
    </row>
    <row r="7" spans="1:6" x14ac:dyDescent="0.25">
      <c r="A7" s="87" t="s">
        <v>72</v>
      </c>
      <c r="B7" s="88">
        <f>'DonnéesGraph ok'!T3</f>
        <v>460643</v>
      </c>
      <c r="C7" s="89">
        <f t="shared" si="0"/>
        <v>1.4526054300423865E-2</v>
      </c>
      <c r="D7" s="88">
        <f>'Effectifs ok'!B3</f>
        <v>687000</v>
      </c>
      <c r="E7" s="89">
        <f>D7/$D$10</f>
        <v>2.9970785682183507E-2</v>
      </c>
    </row>
    <row r="8" spans="1:6" x14ac:dyDescent="0.25">
      <c r="A8" s="87" t="s">
        <v>106</v>
      </c>
      <c r="B8" s="173">
        <f>'DonnéesGraph ok'!T5</f>
        <v>1753519</v>
      </c>
      <c r="C8" s="174">
        <f t="shared" si="0"/>
        <v>5.5295993232991614E-2</v>
      </c>
      <c r="D8" s="173">
        <f>'Effectifs ok'!B5</f>
        <v>1113157</v>
      </c>
      <c r="E8" s="174">
        <f>D8/$D$10</f>
        <v>4.8562139559857852E-2</v>
      </c>
    </row>
    <row r="9" spans="1:6" x14ac:dyDescent="0.25">
      <c r="A9" s="87" t="s">
        <v>36</v>
      </c>
      <c r="B9" s="88">
        <f>'DonnéesGraph ok'!T6</f>
        <v>5788338</v>
      </c>
      <c r="C9" s="89">
        <f t="shared" si="0"/>
        <v>0.18253118379570921</v>
      </c>
      <c r="D9" s="88">
        <f>'Effectifs ok'!B6</f>
        <v>5048854</v>
      </c>
      <c r="E9" s="89">
        <f>D9/$D$10</f>
        <v>0.22025927390776553</v>
      </c>
    </row>
    <row r="10" spans="1:6" ht="13" x14ac:dyDescent="0.3">
      <c r="A10" s="90" t="s">
        <v>43</v>
      </c>
      <c r="B10" s="91">
        <f>B3+B4+B7+B8+B9</f>
        <v>31711502</v>
      </c>
      <c r="C10" s="111">
        <f t="shared" si="0"/>
        <v>1</v>
      </c>
      <c r="D10" s="91">
        <f>SUM(D3:D8,D9)</f>
        <v>22922322</v>
      </c>
      <c r="E10" s="111">
        <f>D10/$D$10</f>
        <v>1</v>
      </c>
    </row>
    <row r="11" spans="1:6" ht="14" x14ac:dyDescent="0.3">
      <c r="A11" s="101" t="s">
        <v>74</v>
      </c>
      <c r="B11" s="138" t="b">
        <f>B10='DonnéesGraph ok'!T7</f>
        <v>1</v>
      </c>
      <c r="D11" s="138" t="b">
        <f>D10='DonnéesGraph ok'!B7</f>
        <v>1</v>
      </c>
    </row>
    <row r="12" spans="1:6" ht="13.5" x14ac:dyDescent="0.25">
      <c r="A12" s="101"/>
    </row>
    <row r="13" spans="1:6" x14ac:dyDescent="0.25">
      <c r="A13" s="546" t="s">
        <v>45</v>
      </c>
      <c r="B13" s="554">
        <v>2018</v>
      </c>
      <c r="C13" s="555"/>
      <c r="D13" s="554">
        <v>2000</v>
      </c>
      <c r="E13" s="555"/>
    </row>
    <row r="14" spans="1:6" x14ac:dyDescent="0.25">
      <c r="A14" s="547"/>
      <c r="B14" s="94" t="s">
        <v>41</v>
      </c>
      <c r="C14" s="94" t="s">
        <v>91</v>
      </c>
      <c r="D14" s="94" t="s">
        <v>41</v>
      </c>
      <c r="E14" s="94" t="s">
        <v>91</v>
      </c>
    </row>
    <row r="15" spans="1:6" x14ac:dyDescent="0.25">
      <c r="A15" s="108" t="s">
        <v>70</v>
      </c>
      <c r="B15" s="109">
        <f>'DonnéesGraph ok'!T14</f>
        <v>11546822</v>
      </c>
      <c r="C15" s="110">
        <f>B15/$B$20</f>
        <v>0.61375186820614258</v>
      </c>
      <c r="D15" s="109">
        <f>'Effectifs ok'!B21</f>
        <v>7247214</v>
      </c>
      <c r="E15" s="110">
        <f>D15/$D$20</f>
        <v>0.54775364526580461</v>
      </c>
    </row>
    <row r="16" spans="1:6" x14ac:dyDescent="0.25">
      <c r="A16" s="95" t="s">
        <v>71</v>
      </c>
      <c r="B16" s="92">
        <f>'DonnéesGraph ok'!T12</f>
        <v>1685926</v>
      </c>
      <c r="C16" s="110">
        <f>B16/$B$20</f>
        <v>8.9612555918616318E-2</v>
      </c>
      <c r="D16" s="92">
        <f>'Effectifs ok'!B19</f>
        <v>1497643</v>
      </c>
      <c r="E16" s="110">
        <f>D16/$D$20</f>
        <v>0.11319376143119485</v>
      </c>
      <c r="F16" s="121">
        <f>B16+B17</f>
        <v>2867581</v>
      </c>
    </row>
    <row r="17" spans="1:15" x14ac:dyDescent="0.25">
      <c r="A17" s="87" t="s">
        <v>72</v>
      </c>
      <c r="B17" s="88">
        <f>'DonnéesGraph ok'!T13</f>
        <v>1181655</v>
      </c>
      <c r="C17" s="110">
        <f>B17/$B$20</f>
        <v>6.2808880558228877E-2</v>
      </c>
      <c r="D17" s="88">
        <f>'Effectifs ok'!B20</f>
        <v>1725656</v>
      </c>
      <c r="E17" s="110">
        <f>D17/$D$20</f>
        <v>0.13042727377372978</v>
      </c>
    </row>
    <row r="18" spans="1:15" ht="13" x14ac:dyDescent="0.3">
      <c r="A18" s="172" t="str">
        <f>+A8</f>
        <v>Régime des indépendants</v>
      </c>
      <c r="B18" s="143">
        <f>'DonnéesGraph ok'!T15</f>
        <v>1414336</v>
      </c>
      <c r="C18" s="110">
        <f>B18/$B$20</f>
        <v>7.5176647069748095E-2</v>
      </c>
      <c r="D18" s="92">
        <f>'Effectifs ok'!B22</f>
        <v>986939</v>
      </c>
      <c r="E18" s="110">
        <f>D18/$D$20</f>
        <v>7.4594104010863749E-2</v>
      </c>
    </row>
    <row r="19" spans="1:15" x14ac:dyDescent="0.25">
      <c r="A19" s="87" t="s">
        <v>36</v>
      </c>
      <c r="B19" s="92">
        <f>'DonnéesGraph ok'!T16</f>
        <v>2984763</v>
      </c>
      <c r="C19" s="110">
        <f>B19/$B$20</f>
        <v>0.15865004824726411</v>
      </c>
      <c r="D19" s="92">
        <f>'Effectifs ok'!B23</f>
        <v>1773339</v>
      </c>
      <c r="E19" s="110">
        <f>D19/$D$20</f>
        <v>0.13403121551840702</v>
      </c>
    </row>
    <row r="20" spans="1:15" ht="13" x14ac:dyDescent="0.3">
      <c r="A20" s="90" t="s">
        <v>43</v>
      </c>
      <c r="B20" s="91">
        <f>B15+B16+B17+B18+B19</f>
        <v>18813502</v>
      </c>
      <c r="C20" s="171">
        <f>C15+C16+C17+C18+C19</f>
        <v>1</v>
      </c>
      <c r="D20" s="91">
        <f>D15+D16+D17+D18+D19</f>
        <v>13230791</v>
      </c>
      <c r="E20" s="112">
        <f>E15+E16+E17+E18+E19</f>
        <v>1</v>
      </c>
    </row>
    <row r="21" spans="1:15" s="107" customFormat="1" ht="13" x14ac:dyDescent="0.3">
      <c r="A21" s="104"/>
      <c r="B21" s="139" t="b">
        <f>B20='DonnéesGraph ok'!T17</f>
        <v>1</v>
      </c>
      <c r="C21" s="105"/>
      <c r="D21" s="140" t="b">
        <f>D20='DonnéesGraph ok'!B17</f>
        <v>1</v>
      </c>
      <c r="E21" s="105"/>
      <c r="F21" s="106"/>
    </row>
    <row r="22" spans="1:15" hidden="1" x14ac:dyDescent="0.25">
      <c r="A22" s="546" t="s">
        <v>44</v>
      </c>
      <c r="B22" s="545">
        <v>2019</v>
      </c>
      <c r="C22" s="545"/>
      <c r="D22" s="545"/>
      <c r="E22" s="545"/>
      <c r="F22" s="550" t="s">
        <v>108</v>
      </c>
      <c r="G22" s="551"/>
      <c r="H22" s="551"/>
      <c r="I22" s="230">
        <f>(B28/D7)^(1/18)-1</f>
        <v>-2.3180467090022083E-2</v>
      </c>
      <c r="J22" s="145" t="s">
        <v>94</v>
      </c>
    </row>
    <row r="23" spans="1:15" s="84" customFormat="1" ht="25.5" hidden="1" customHeight="1" x14ac:dyDescent="0.25">
      <c r="A23" s="547"/>
      <c r="B23" s="94" t="s">
        <v>41</v>
      </c>
      <c r="C23" s="94" t="s">
        <v>91</v>
      </c>
      <c r="D23" s="141" t="s">
        <v>107</v>
      </c>
      <c r="E23" s="94" t="s">
        <v>42</v>
      </c>
      <c r="F23" s="130">
        <f>B4+B7</f>
        <v>1213408</v>
      </c>
      <c r="J23" s="544" t="s">
        <v>93</v>
      </c>
      <c r="K23" s="544"/>
      <c r="L23" s="544"/>
      <c r="M23" s="544"/>
      <c r="N23" s="544"/>
      <c r="O23" s="544"/>
    </row>
    <row r="24" spans="1:15" ht="14.5" hidden="1" x14ac:dyDescent="0.25">
      <c r="A24" s="214" t="s">
        <v>75</v>
      </c>
      <c r="B24" s="215">
        <f>'DonnéesGraph ok'!U4</f>
        <v>23228359</v>
      </c>
      <c r="C24" s="216">
        <f t="shared" ref="C24:C30" si="1">B24/$B$31</f>
        <v>0.72482839965336843</v>
      </c>
      <c r="D24" s="217">
        <f>B24/B3-1</f>
        <v>1.1853946271769278E-2</v>
      </c>
      <c r="E24" s="248">
        <f>B24/D3-1</f>
        <v>0.50698536739045141</v>
      </c>
      <c r="F24" s="121">
        <f>B25+B28</f>
        <v>1238637</v>
      </c>
      <c r="G24" s="122">
        <f>F24/F23-1</f>
        <v>2.0791852369524522E-2</v>
      </c>
      <c r="H24" s="122">
        <f>(B24+B25+B28+B29)/B31</f>
        <v>0.82586934611459695</v>
      </c>
      <c r="I24" s="2"/>
      <c r="J24" s="544"/>
      <c r="K24" s="544"/>
      <c r="L24" s="544"/>
      <c r="M24" s="544"/>
      <c r="N24" s="544"/>
      <c r="O24" s="544"/>
    </row>
    <row r="25" spans="1:15" ht="14.5" hidden="1" x14ac:dyDescent="0.25">
      <c r="A25" s="218" t="s">
        <v>73</v>
      </c>
      <c r="B25" s="219">
        <f>B26+B27</f>
        <v>788220</v>
      </c>
      <c r="C25" s="220">
        <f t="shared" si="1"/>
        <v>2.459597947383102E-2</v>
      </c>
      <c r="D25" s="229">
        <f t="shared" ref="D25:D31" si="2">B25/B4-1</f>
        <v>4.7099692467104548E-2</v>
      </c>
      <c r="E25" s="128">
        <f>B25/D4-1</f>
        <v>0.19514373353913994</v>
      </c>
      <c r="F25" s="121"/>
      <c r="J25" s="544"/>
      <c r="K25" s="544"/>
      <c r="L25" s="544"/>
      <c r="M25" s="544"/>
      <c r="N25" s="544"/>
      <c r="O25" s="544"/>
    </row>
    <row r="26" spans="1:15" ht="13" hidden="1" x14ac:dyDescent="0.3">
      <c r="A26" s="222" t="str">
        <f>A5</f>
        <v>dont actifs cotisants</v>
      </c>
      <c r="B26" s="223">
        <v>702791</v>
      </c>
      <c r="C26" s="224">
        <f t="shared" si="1"/>
        <v>2.1930213659122042E-2</v>
      </c>
      <c r="D26" s="239">
        <f>B26/B5-1</f>
        <v>2.9386519961097202E-2</v>
      </c>
      <c r="E26" s="170"/>
      <c r="F26" s="121"/>
      <c r="J26" s="544"/>
      <c r="K26" s="544"/>
      <c r="L26" s="544"/>
      <c r="M26" s="544"/>
      <c r="N26" s="544"/>
      <c r="O26" s="544"/>
    </row>
    <row r="27" spans="1:15" ht="13" hidden="1" x14ac:dyDescent="0.3">
      <c r="A27" s="222" t="str">
        <f>A6</f>
        <v>dont cotisants chômeurs, stagiaires et apprentis</v>
      </c>
      <c r="B27" s="223">
        <v>85429</v>
      </c>
      <c r="C27" s="224">
        <f t="shared" si="1"/>
        <v>2.6657658147089774E-3</v>
      </c>
      <c r="D27" s="238">
        <f t="shared" si="2"/>
        <v>0.21976955038051327</v>
      </c>
      <c r="E27" s="170"/>
      <c r="F27" s="121"/>
      <c r="J27" s="544"/>
      <c r="K27" s="544"/>
      <c r="L27" s="544"/>
      <c r="M27" s="544"/>
      <c r="N27" s="544"/>
      <c r="O27" s="544"/>
    </row>
    <row r="28" spans="1:15" hidden="1" x14ac:dyDescent="0.25">
      <c r="A28" s="214" t="s">
        <v>72</v>
      </c>
      <c r="B28" s="245">
        <f>'DonnéesGraph ok'!U3</f>
        <v>450417</v>
      </c>
      <c r="C28" s="216">
        <f t="shared" si="1"/>
        <v>1.4055019267037814E-2</v>
      </c>
      <c r="D28" s="240">
        <f t="shared" si="2"/>
        <v>-2.2199403876754897E-2</v>
      </c>
      <c r="E28" s="240">
        <f>B28/D7-1</f>
        <v>-0.34437117903930126</v>
      </c>
      <c r="J28" s="544"/>
      <c r="K28" s="544"/>
      <c r="L28" s="544"/>
      <c r="M28" s="544"/>
      <c r="N28" s="544"/>
      <c r="O28" s="544"/>
    </row>
    <row r="29" spans="1:15" hidden="1" x14ac:dyDescent="0.25">
      <c r="A29" s="214" t="str">
        <f>+A8</f>
        <v>Régime des indépendants</v>
      </c>
      <c r="B29" s="246">
        <f>'DonnéesGraph ok'!U5</f>
        <v>1999392</v>
      </c>
      <c r="C29" s="216">
        <f t="shared" si="1"/>
        <v>6.2389947720359731E-2</v>
      </c>
      <c r="D29" s="241">
        <f t="shared" si="2"/>
        <v>0.14021690098596018</v>
      </c>
      <c r="E29" s="128">
        <f>B29/D8-1</f>
        <v>0.79614555718555424</v>
      </c>
      <c r="J29" s="544"/>
      <c r="K29" s="544"/>
      <c r="L29" s="544"/>
      <c r="M29" s="544"/>
      <c r="N29" s="544"/>
      <c r="O29" s="544"/>
    </row>
    <row r="30" spans="1:15" hidden="1" x14ac:dyDescent="0.25">
      <c r="A30" s="214" t="s">
        <v>36</v>
      </c>
      <c r="B30" s="215">
        <f>'DonnéesGraph ok'!U6</f>
        <v>5580313</v>
      </c>
      <c r="C30" s="216">
        <f t="shared" si="1"/>
        <v>0.17413065388540305</v>
      </c>
      <c r="D30" s="221">
        <f t="shared" si="2"/>
        <v>-3.5938640763549023E-2</v>
      </c>
      <c r="E30" s="128">
        <f>B30/D9-1</f>
        <v>0.10526329341272289</v>
      </c>
    </row>
    <row r="31" spans="1:15" s="85" customFormat="1" ht="13" hidden="1" x14ac:dyDescent="0.3">
      <c r="A31" s="225" t="s">
        <v>43</v>
      </c>
      <c r="B31" s="226">
        <f>B24+B25+B28+B29+B30</f>
        <v>32046701</v>
      </c>
      <c r="C31" s="227">
        <f>C24+C25+C28+C29+C30</f>
        <v>1</v>
      </c>
      <c r="D31" s="228">
        <f t="shared" si="2"/>
        <v>1.0570265640523768E-2</v>
      </c>
      <c r="E31" s="129">
        <f>B31/D10-1</f>
        <v>0.39805648834354557</v>
      </c>
      <c r="F31" s="86"/>
    </row>
    <row r="32" spans="1:15" ht="14" hidden="1" x14ac:dyDescent="0.3">
      <c r="A32" s="101" t="s">
        <v>74</v>
      </c>
      <c r="B32" s="138" t="b">
        <f>B31='DonnéesGraph ok'!U7</f>
        <v>1</v>
      </c>
    </row>
    <row r="33" spans="1:15" ht="13.5" hidden="1" x14ac:dyDescent="0.25">
      <c r="A33" s="101"/>
      <c r="F33" s="83">
        <v>49135</v>
      </c>
      <c r="G33">
        <v>61417</v>
      </c>
      <c r="H33">
        <f>G33/F33-1</f>
        <v>0.24996438384043951</v>
      </c>
    </row>
    <row r="34" spans="1:15" hidden="1" x14ac:dyDescent="0.25">
      <c r="A34" s="548" t="s">
        <v>45</v>
      </c>
      <c r="B34" s="545">
        <f>B22</f>
        <v>2019</v>
      </c>
      <c r="C34" s="545"/>
      <c r="D34" s="545"/>
      <c r="E34" s="545"/>
      <c r="F34" s="550" t="s">
        <v>109</v>
      </c>
      <c r="G34" s="551"/>
      <c r="H34" s="551"/>
      <c r="I34" s="230">
        <f>(B38/D17)^(1/18)-1</f>
        <v>-2.2661850982383824E-2</v>
      </c>
    </row>
    <row r="35" spans="1:15" ht="25" hidden="1" x14ac:dyDescent="0.25">
      <c r="A35" s="549"/>
      <c r="B35" s="94" t="s">
        <v>41</v>
      </c>
      <c r="C35" s="94" t="s">
        <v>91</v>
      </c>
      <c r="D35" s="141" t="str">
        <f>D23</f>
        <v>Evolution par rapport à 2018</v>
      </c>
      <c r="E35" s="94" t="s">
        <v>42</v>
      </c>
    </row>
    <row r="36" spans="1:15" hidden="1" x14ac:dyDescent="0.25">
      <c r="A36" s="87" t="s">
        <v>70</v>
      </c>
      <c r="B36" s="88">
        <f>'DonnéesGraph ok'!U14</f>
        <v>11807198</v>
      </c>
      <c r="C36" s="89">
        <f>B36/$B$41</f>
        <v>0.61518757878588282</v>
      </c>
      <c r="D36" s="128">
        <f t="shared" ref="D36:D41" si="3">B36/B15-1</f>
        <v>2.254958117480288E-2</v>
      </c>
      <c r="E36" s="89">
        <f t="shared" ref="E36:E41" si="4">B36/D15-1</f>
        <v>0.62920509867653962</v>
      </c>
    </row>
    <row r="37" spans="1:15" hidden="1" x14ac:dyDescent="0.25">
      <c r="A37" s="95" t="s">
        <v>71</v>
      </c>
      <c r="B37" s="92">
        <f>'DonnéesGraph ok'!U12</f>
        <v>1701721</v>
      </c>
      <c r="C37" s="93">
        <f>B37/$B$41</f>
        <v>8.8664357264025828E-2</v>
      </c>
      <c r="D37" s="229">
        <f t="shared" si="3"/>
        <v>9.3687386041854115E-3</v>
      </c>
      <c r="E37" s="89">
        <f t="shared" si="4"/>
        <v>0.13626611949576772</v>
      </c>
      <c r="F37" s="132"/>
    </row>
    <row r="38" spans="1:15" hidden="1" x14ac:dyDescent="0.25">
      <c r="A38" s="87" t="s">
        <v>72</v>
      </c>
      <c r="B38" s="245">
        <f>'DonnéesGraph ok'!U13</f>
        <v>1142251</v>
      </c>
      <c r="C38" s="89">
        <f>B38/$B$41</f>
        <v>5.9514427305763264E-2</v>
      </c>
      <c r="D38" s="128">
        <f t="shared" si="3"/>
        <v>-3.3346450529130767E-2</v>
      </c>
      <c r="E38" s="242">
        <f t="shared" si="4"/>
        <v>-0.33807722976074028</v>
      </c>
      <c r="F38" s="121">
        <f>B16+B17</f>
        <v>2867581</v>
      </c>
      <c r="G38" s="122"/>
      <c r="H38" s="122"/>
    </row>
    <row r="39" spans="1:15" hidden="1" x14ac:dyDescent="0.25">
      <c r="A39" s="95" t="str">
        <f>+A8</f>
        <v>Régime des indépendants</v>
      </c>
      <c r="B39" s="247">
        <f>'DonnéesGraph ok'!U15</f>
        <v>1449731</v>
      </c>
      <c r="C39" s="93">
        <f>B39/$B$41</f>
        <v>7.5534983302629172E-2</v>
      </c>
      <c r="D39" s="128">
        <f t="shared" si="3"/>
        <v>2.5025877867776769E-2</v>
      </c>
      <c r="E39" s="89">
        <f t="shared" si="4"/>
        <v>0.46891651865008876</v>
      </c>
      <c r="H39" s="122"/>
    </row>
    <row r="40" spans="1:15" hidden="1" x14ac:dyDescent="0.25">
      <c r="A40" s="87" t="s">
        <v>36</v>
      </c>
      <c r="B40" s="92">
        <f>'DonnéesGraph ok'!U16</f>
        <v>3091941</v>
      </c>
      <c r="C40" s="89">
        <f>B40/$B$41</f>
        <v>0.16109865334169896</v>
      </c>
      <c r="D40" s="128">
        <f t="shared" si="3"/>
        <v>3.5908378655189699E-2</v>
      </c>
      <c r="E40" s="89">
        <f t="shared" si="4"/>
        <v>0.74357018032085231</v>
      </c>
      <c r="F40" s="137"/>
    </row>
    <row r="41" spans="1:15" ht="13" hidden="1" x14ac:dyDescent="0.3">
      <c r="A41" s="90" t="s">
        <v>43</v>
      </c>
      <c r="B41" s="91">
        <f>SUM(B36:B40)</f>
        <v>19192842</v>
      </c>
      <c r="C41" s="171">
        <f>SUM(C36:C40)</f>
        <v>1.0000000000000002</v>
      </c>
      <c r="D41" s="131">
        <f t="shared" si="3"/>
        <v>2.0163178551234173E-2</v>
      </c>
      <c r="E41" s="111">
        <f t="shared" si="4"/>
        <v>0.45061939229483716</v>
      </c>
    </row>
    <row r="42" spans="1:15" ht="13" hidden="1" x14ac:dyDescent="0.3">
      <c r="B42" s="138" t="b">
        <f>B41='DonnéesGraph ok'!U17</f>
        <v>1</v>
      </c>
    </row>
    <row r="43" spans="1:15" hidden="1" x14ac:dyDescent="0.25">
      <c r="A43" s="546" t="s">
        <v>44</v>
      </c>
      <c r="B43" s="545">
        <v>2020</v>
      </c>
      <c r="C43" s="545"/>
      <c r="D43" s="545"/>
      <c r="E43" s="545"/>
      <c r="F43" s="550" t="s">
        <v>108</v>
      </c>
      <c r="G43" s="551"/>
      <c r="H43" s="551"/>
      <c r="I43" s="230">
        <f>(B45/D3)^(1/19)-1</f>
        <v>2.1113779760344675E-2</v>
      </c>
    </row>
    <row r="44" spans="1:15" s="84" customFormat="1" ht="25.5" hidden="1" customHeight="1" x14ac:dyDescent="0.25">
      <c r="A44" s="547"/>
      <c r="B44" s="94" t="s">
        <v>41</v>
      </c>
      <c r="C44" s="94" t="s">
        <v>91</v>
      </c>
      <c r="D44" s="141" t="s">
        <v>110</v>
      </c>
      <c r="E44" s="94" t="s">
        <v>42</v>
      </c>
      <c r="F44" s="130">
        <f>B25+B28</f>
        <v>1238637</v>
      </c>
      <c r="J44"/>
      <c r="K44"/>
      <c r="L44"/>
      <c r="M44"/>
      <c r="N44"/>
      <c r="O44"/>
    </row>
    <row r="45" spans="1:15" ht="14.5" hidden="1" x14ac:dyDescent="0.25">
      <c r="A45" s="214" t="s">
        <v>75</v>
      </c>
      <c r="B45" s="215">
        <f>'DonnéesGraph ok'!V4</f>
        <v>22925462</v>
      </c>
      <c r="C45" s="216">
        <f t="shared" ref="C45:C51" si="5">B45/$B$52</f>
        <v>0.72064902811159837</v>
      </c>
      <c r="D45" s="217">
        <f t="shared" ref="D45:D52" si="6">B45/B24-1</f>
        <v>-1.3039965500791562E-2</v>
      </c>
      <c r="E45" s="248">
        <f>B45/D3-1</f>
        <v>0.48733433018948236</v>
      </c>
      <c r="F45" s="121">
        <f>B46+B49</f>
        <v>1233223</v>
      </c>
      <c r="G45" s="122">
        <f>F45/F44-1</f>
        <v>-4.3709335341992617E-3</v>
      </c>
      <c r="H45" s="122">
        <f>(B45+B46+B49+B50)/B52</f>
        <v>0.82776649857729301</v>
      </c>
      <c r="I45" s="2"/>
    </row>
    <row r="46" spans="1:15" ht="14.5" hidden="1" x14ac:dyDescent="0.25">
      <c r="A46" s="218" t="s">
        <v>73</v>
      </c>
      <c r="B46" s="219">
        <f>B47+B48</f>
        <v>790190</v>
      </c>
      <c r="C46" s="220">
        <f t="shared" si="5"/>
        <v>2.4839179054428825E-2</v>
      </c>
      <c r="D46" s="229">
        <f t="shared" si="6"/>
        <v>2.4993022252670638E-3</v>
      </c>
      <c r="E46" s="128">
        <f>B46/D4-1</f>
        <v>0.19813075893188814</v>
      </c>
      <c r="F46" s="121"/>
    </row>
    <row r="47" spans="1:15" ht="13" hidden="1" x14ac:dyDescent="0.3">
      <c r="A47" s="222" t="str">
        <f>A26</f>
        <v>dont actifs cotisants</v>
      </c>
      <c r="B47" s="231">
        <v>685102</v>
      </c>
      <c r="C47" s="224">
        <f t="shared" si="5"/>
        <v>2.153579676855857E-2</v>
      </c>
      <c r="D47" s="239">
        <f t="shared" si="6"/>
        <v>-2.5169645029603394E-2</v>
      </c>
      <c r="E47" s="170"/>
      <c r="F47" s="121"/>
    </row>
    <row r="48" spans="1:15" ht="13" hidden="1" x14ac:dyDescent="0.3">
      <c r="A48" s="222" t="str">
        <f>A27</f>
        <v>dont cotisants chômeurs, stagiaires et apprentis</v>
      </c>
      <c r="B48" s="231">
        <v>105088</v>
      </c>
      <c r="C48" s="224">
        <f t="shared" si="5"/>
        <v>3.3033822858702542E-3</v>
      </c>
      <c r="D48" s="238">
        <f t="shared" si="6"/>
        <v>0.23012091912582378</v>
      </c>
      <c r="E48" s="170"/>
      <c r="F48" s="121"/>
    </row>
    <row r="49" spans="1:10" hidden="1" x14ac:dyDescent="0.25">
      <c r="A49" s="214" t="s">
        <v>72</v>
      </c>
      <c r="B49" s="245">
        <f>'DonnéesGraph ok'!V3</f>
        <v>443033</v>
      </c>
      <c r="C49" s="216">
        <f t="shared" si="5"/>
        <v>1.3926493645858294E-2</v>
      </c>
      <c r="D49" s="240">
        <f t="shared" si="6"/>
        <v>-1.6393697395968632E-2</v>
      </c>
      <c r="E49" s="243">
        <f>B49/D7-1</f>
        <v>-0.3551193595342067</v>
      </c>
    </row>
    <row r="50" spans="1:10" hidden="1" x14ac:dyDescent="0.25">
      <c r="A50" s="214" t="str">
        <f>+A29</f>
        <v>Régime des indépendants</v>
      </c>
      <c r="B50" s="246">
        <f>'DonnéesGraph ok'!V5</f>
        <v>2174424</v>
      </c>
      <c r="C50" s="216">
        <f t="shared" si="5"/>
        <v>6.8351797765407493E-2</v>
      </c>
      <c r="D50" s="241">
        <f t="shared" si="6"/>
        <v>8.7542612954338184E-2</v>
      </c>
      <c r="E50" s="128">
        <f>B50/D8-1</f>
        <v>0.95338483250790329</v>
      </c>
    </row>
    <row r="51" spans="1:10" hidden="1" x14ac:dyDescent="0.25">
      <c r="A51" s="214" t="s">
        <v>36</v>
      </c>
      <c r="B51" s="215">
        <f>'DonnéesGraph ok'!V6</f>
        <v>5479134</v>
      </c>
      <c r="C51" s="216">
        <f t="shared" si="5"/>
        <v>0.17223350142270696</v>
      </c>
      <c r="D51" s="221">
        <f t="shared" si="6"/>
        <v>-1.8131420226786599E-2</v>
      </c>
      <c r="E51" s="128">
        <f>B51/D9-1</f>
        <v>8.522330017861468E-2</v>
      </c>
    </row>
    <row r="52" spans="1:10" s="85" customFormat="1" ht="13" hidden="1" x14ac:dyDescent="0.3">
      <c r="A52" s="225" t="s">
        <v>43</v>
      </c>
      <c r="B52" s="226">
        <f>B45+B46+B49+B50+B51</f>
        <v>31812243</v>
      </c>
      <c r="C52" s="227">
        <f>C45+C46+C49+C50+C51</f>
        <v>0.99999999999999989</v>
      </c>
      <c r="D52" s="228">
        <f t="shared" si="6"/>
        <v>-7.3161352864371532E-3</v>
      </c>
      <c r="E52" s="129">
        <f>B52/D10-1</f>
        <v>0.3878281179367431</v>
      </c>
      <c r="F52" s="86"/>
    </row>
    <row r="53" spans="1:10" ht="14" hidden="1" x14ac:dyDescent="0.3">
      <c r="A53" s="101" t="s">
        <v>74</v>
      </c>
      <c r="B53" s="138" t="b">
        <f>B52='DonnéesGraph ok'!V7</f>
        <v>1</v>
      </c>
    </row>
    <row r="54" spans="1:10" ht="13.5" hidden="1" x14ac:dyDescent="0.25">
      <c r="A54" s="101"/>
      <c r="F54" s="83">
        <v>49135</v>
      </c>
      <c r="G54">
        <v>61417</v>
      </c>
      <c r="H54" s="277">
        <f>G54/F54-1</f>
        <v>0.24996438384043951</v>
      </c>
    </row>
    <row r="55" spans="1:10" hidden="1" x14ac:dyDescent="0.25">
      <c r="A55" s="548" t="s">
        <v>45</v>
      </c>
      <c r="B55" s="545">
        <f>B43</f>
        <v>2020</v>
      </c>
      <c r="C55" s="545"/>
      <c r="D55" s="545"/>
      <c r="E55" s="545"/>
      <c r="F55" s="550" t="s">
        <v>109</v>
      </c>
      <c r="G55" s="551"/>
      <c r="H55" s="551"/>
      <c r="I55" s="230">
        <f>(B58/D16)^(1/19)-1</f>
        <v>7.0122647020631756E-3</v>
      </c>
    </row>
    <row r="56" spans="1:10" ht="25" hidden="1" x14ac:dyDescent="0.25">
      <c r="A56" s="549"/>
      <c r="B56" s="94" t="s">
        <v>41</v>
      </c>
      <c r="C56" s="94" t="s">
        <v>91</v>
      </c>
      <c r="D56" s="141" t="str">
        <f>D44</f>
        <v>Evolution par rapport à 2019</v>
      </c>
      <c r="E56" s="94" t="s">
        <v>42</v>
      </c>
    </row>
    <row r="57" spans="1:10" hidden="1" x14ac:dyDescent="0.25">
      <c r="A57" s="87" t="s">
        <v>70</v>
      </c>
      <c r="B57" s="88">
        <f>'DonnéesGraph ok'!V14</f>
        <v>12044595</v>
      </c>
      <c r="C57" s="89">
        <f>B57/$B$62</f>
        <v>0.61658634649171307</v>
      </c>
      <c r="D57" s="128">
        <f>B57/B36-1</f>
        <v>2.0106125094200955E-2</v>
      </c>
      <c r="E57" s="89">
        <f t="shared" ref="E57:E62" si="7">B57/D15-1</f>
        <v>0.6619621001946403</v>
      </c>
    </row>
    <row r="58" spans="1:10" hidden="1" x14ac:dyDescent="0.25">
      <c r="A58" s="95" t="s">
        <v>71</v>
      </c>
      <c r="B58" s="92">
        <f>'DonnéesGraph ok'!V12</f>
        <v>1710286</v>
      </c>
      <c r="C58" s="93">
        <f>B58/$B$62</f>
        <v>8.7552881287907641E-2</v>
      </c>
      <c r="D58" s="229">
        <f t="shared" ref="D58:D62" si="8">B58/B37-1</f>
        <v>5.03313998005539E-3</v>
      </c>
      <c r="E58" s="89">
        <f t="shared" si="7"/>
        <v>0.14198510592978431</v>
      </c>
      <c r="F58" s="132"/>
    </row>
    <row r="59" spans="1:10" hidden="1" x14ac:dyDescent="0.25">
      <c r="A59" s="87" t="s">
        <v>72</v>
      </c>
      <c r="B59" s="245">
        <f>'DonnéesGraph ok'!V13</f>
        <v>1105362</v>
      </c>
      <c r="C59" s="89">
        <f>B59/$B$41</f>
        <v>5.759240866985723E-2</v>
      </c>
      <c r="D59" s="128">
        <f t="shared" si="8"/>
        <v>-3.2295003462461391E-2</v>
      </c>
      <c r="E59" s="244">
        <f t="shared" si="7"/>
        <v>-0.35945402791749925</v>
      </c>
      <c r="F59" s="121">
        <f>B58+B59</f>
        <v>2815648</v>
      </c>
      <c r="G59" s="122"/>
      <c r="H59" s="122"/>
    </row>
    <row r="60" spans="1:10" hidden="1" x14ac:dyDescent="0.25">
      <c r="A60" s="95" t="str">
        <f>+A29</f>
        <v>Régime des indépendants</v>
      </c>
      <c r="B60" s="247">
        <f>'DonnéesGraph ok'!V15</f>
        <v>1476579</v>
      </c>
      <c r="C60" s="93">
        <f>B60/$B$62</f>
        <v>7.5588963424373101E-2</v>
      </c>
      <c r="D60" s="128">
        <f t="shared" si="8"/>
        <v>1.8519297717990435E-2</v>
      </c>
      <c r="E60" s="89">
        <f t="shared" si="7"/>
        <v>0.49611982098184382</v>
      </c>
      <c r="H60" s="122"/>
    </row>
    <row r="61" spans="1:10" hidden="1" x14ac:dyDescent="0.25">
      <c r="A61" s="87" t="s">
        <v>36</v>
      </c>
      <c r="B61" s="92">
        <f>'DonnéesGraph ok'!V16</f>
        <v>3197498</v>
      </c>
      <c r="C61" s="89">
        <f>B61/$B$62</f>
        <v>0.16368616875325068</v>
      </c>
      <c r="D61" s="128">
        <f t="shared" si="8"/>
        <v>3.4139396579689008E-2</v>
      </c>
      <c r="E61" s="89">
        <f t="shared" si="7"/>
        <v>0.80309461417134576</v>
      </c>
      <c r="F61" s="137"/>
    </row>
    <row r="62" spans="1:10" ht="13" hidden="1" x14ac:dyDescent="0.3">
      <c r="A62" s="90" t="s">
        <v>43</v>
      </c>
      <c r="B62" s="91">
        <f>SUM(B57:B61)</f>
        <v>19534320</v>
      </c>
      <c r="C62" s="171">
        <f>SUM(C57:C61)</f>
        <v>1.0010067686271018</v>
      </c>
      <c r="D62" s="131">
        <f t="shared" si="8"/>
        <v>1.7791945559703981E-2</v>
      </c>
      <c r="E62" s="111">
        <f t="shared" si="7"/>
        <v>0.47642873355039761</v>
      </c>
    </row>
    <row r="63" spans="1:10" ht="13" hidden="1" x14ac:dyDescent="0.3">
      <c r="B63" s="138" t="b">
        <f>B62='DonnéesGraph ok'!V17</f>
        <v>1</v>
      </c>
      <c r="I63" s="230">
        <f>(B67/D4)^(1/20)-1</f>
        <v>1.1041570913237653E-2</v>
      </c>
    </row>
    <row r="64" spans="1:10" hidden="1" x14ac:dyDescent="0.25">
      <c r="A64" s="552" t="s">
        <v>44</v>
      </c>
      <c r="B64" s="545">
        <v>2021</v>
      </c>
      <c r="C64" s="545"/>
      <c r="D64" s="545"/>
      <c r="E64" s="545"/>
      <c r="F64" s="550" t="s">
        <v>108</v>
      </c>
      <c r="G64" s="551"/>
      <c r="H64" s="551"/>
      <c r="I64" s="230">
        <f>(B66/D3)^(1/20)-1</f>
        <v>2.2538544072095101E-2</v>
      </c>
      <c r="J64" t="s">
        <v>111</v>
      </c>
    </row>
    <row r="65" spans="1:15" s="84" customFormat="1" ht="25.5" hidden="1" customHeight="1" x14ac:dyDescent="0.25">
      <c r="A65" s="553"/>
      <c r="B65" s="94" t="s">
        <v>41</v>
      </c>
      <c r="C65" s="94" t="s">
        <v>91</v>
      </c>
      <c r="D65" s="141" t="s">
        <v>112</v>
      </c>
      <c r="E65" s="94" t="s">
        <v>42</v>
      </c>
      <c r="F65" s="130">
        <f>B46+B49</f>
        <v>1233223</v>
      </c>
      <c r="J65"/>
      <c r="K65"/>
      <c r="L65"/>
      <c r="M65"/>
      <c r="N65"/>
      <c r="O65"/>
    </row>
    <row r="66" spans="1:15" ht="14.5" hidden="1" x14ac:dyDescent="0.25">
      <c r="A66" s="214" t="s">
        <v>75</v>
      </c>
      <c r="B66" s="215">
        <f>'DonnéesGraph ok'!W4</f>
        <v>24071505</v>
      </c>
      <c r="C66" s="216">
        <f t="shared" ref="C66:C72" si="9">B66/$B$73</f>
        <v>0.72477581077831721</v>
      </c>
      <c r="D66" s="217">
        <f>B66/B45-1</f>
        <v>4.9989963124843495E-2</v>
      </c>
      <c r="E66" s="248">
        <f>B66/D3-1</f>
        <v>0.56168611850996819</v>
      </c>
      <c r="F66" s="121">
        <f>B67+B70</f>
        <v>1258363</v>
      </c>
      <c r="G66" s="122">
        <f>F66/F65-1</f>
        <v>2.0385607469208811E-2</v>
      </c>
      <c r="H66" s="122">
        <f>(B66+B67+B70+B71)/B73</f>
        <v>0.83636997518934675</v>
      </c>
      <c r="I66" s="2"/>
    </row>
    <row r="67" spans="1:15" ht="14.5" hidden="1" x14ac:dyDescent="0.25">
      <c r="A67" s="218" t="s">
        <v>73</v>
      </c>
      <c r="B67" s="219">
        <f>B68+B69</f>
        <v>821500</v>
      </c>
      <c r="C67" s="220">
        <f t="shared" si="9"/>
        <v>2.4734777844359443E-2</v>
      </c>
      <c r="D67" s="229">
        <f t="shared" ref="D67:D73" si="10">B67/B46-1</f>
        <v>3.9623381718320916E-2</v>
      </c>
      <c r="E67" s="279">
        <f>B67/D4-1</f>
        <v>0.24560475134150805</v>
      </c>
      <c r="F67" s="121"/>
    </row>
    <row r="68" spans="1:15" ht="13" hidden="1" x14ac:dyDescent="0.3">
      <c r="A68" s="222" t="str">
        <f>A47</f>
        <v>dont actifs cotisants</v>
      </c>
      <c r="B68" s="231">
        <v>714686</v>
      </c>
      <c r="C68" s="224">
        <f t="shared" si="9"/>
        <v>2.1518684648172699E-2</v>
      </c>
      <c r="D68" s="239">
        <f t="shared" si="10"/>
        <v>4.3181891163651454E-2</v>
      </c>
      <c r="E68" s="170"/>
      <c r="F68" s="121"/>
    </row>
    <row r="69" spans="1:15" ht="13" hidden="1" x14ac:dyDescent="0.3">
      <c r="A69" s="222" t="str">
        <f>A48</f>
        <v>dont cotisants chômeurs, stagiaires et apprentis</v>
      </c>
      <c r="B69" s="231">
        <v>106814</v>
      </c>
      <c r="C69" s="224">
        <f t="shared" si="9"/>
        <v>3.2160931961867432E-3</v>
      </c>
      <c r="D69" s="238">
        <f t="shared" si="10"/>
        <v>1.6424330085261785E-2</v>
      </c>
      <c r="E69" s="170"/>
      <c r="F69" s="121"/>
    </row>
    <row r="70" spans="1:15" hidden="1" x14ac:dyDescent="0.25">
      <c r="A70" s="214" t="s">
        <v>72</v>
      </c>
      <c r="B70" s="245">
        <f>'DonnéesGraph ok'!W3</f>
        <v>436863</v>
      </c>
      <c r="C70" s="216">
        <f t="shared" si="9"/>
        <v>1.3153632688278028E-2</v>
      </c>
      <c r="D70" s="281">
        <f t="shared" si="10"/>
        <v>-1.3926727805829375E-2</v>
      </c>
      <c r="E70" s="243">
        <f>B70/D7-1</f>
        <v>-0.36410043668122272</v>
      </c>
    </row>
    <row r="71" spans="1:15" hidden="1" x14ac:dyDescent="0.25">
      <c r="A71" s="214" t="str">
        <f>+A50</f>
        <v>Régime des indépendants</v>
      </c>
      <c r="B71" s="246">
        <f>'DonnéesGraph ok'!W5</f>
        <v>2447941</v>
      </c>
      <c r="C71" s="216">
        <f t="shared" si="9"/>
        <v>7.3705753878392094E-2</v>
      </c>
      <c r="D71" s="241">
        <f t="shared" si="10"/>
        <v>0.12578825472860866</v>
      </c>
      <c r="E71" s="128">
        <f>B71/D8-1</f>
        <v>1.1990977014024078</v>
      </c>
    </row>
    <row r="72" spans="1:15" hidden="1" x14ac:dyDescent="0.25">
      <c r="A72" s="214" t="s">
        <v>36</v>
      </c>
      <c r="B72" s="215">
        <f>'DonnéesGraph ok'!W6</f>
        <v>5434537</v>
      </c>
      <c r="C72" s="216">
        <f t="shared" si="9"/>
        <v>0.16363002481065325</v>
      </c>
      <c r="D72" s="221">
        <f t="shared" si="10"/>
        <v>-8.1394249529214147E-3</v>
      </c>
      <c r="E72" s="128">
        <f>B72/D9-1</f>
        <v>7.6390206569649344E-2</v>
      </c>
    </row>
    <row r="73" spans="1:15" s="85" customFormat="1" ht="13" hidden="1" x14ac:dyDescent="0.3">
      <c r="A73" s="225" t="s">
        <v>43</v>
      </c>
      <c r="B73" s="226">
        <f>B66+B67+B70+B71+B72</f>
        <v>33212346</v>
      </c>
      <c r="C73" s="227">
        <f>C66+C67+C70+C71+C72</f>
        <v>1</v>
      </c>
      <c r="D73" s="228">
        <f t="shared" si="10"/>
        <v>4.4011451817465463E-2</v>
      </c>
      <c r="E73" s="129">
        <f>B73/D10-1</f>
        <v>0.44890844828023968</v>
      </c>
      <c r="F73" s="86"/>
    </row>
    <row r="74" spans="1:15" ht="14" hidden="1" x14ac:dyDescent="0.3">
      <c r="A74" s="101" t="s">
        <v>74</v>
      </c>
      <c r="B74" s="138" t="b">
        <f>B73='DonnéesGraph ok'!W7</f>
        <v>1</v>
      </c>
      <c r="C74" s="325">
        <f>B66+B67+B70+B71</f>
        <v>27777809</v>
      </c>
      <c r="D74" s="290">
        <f>C66+C67+C70+C71</f>
        <v>0.83636997518934675</v>
      </c>
    </row>
    <row r="75" spans="1:15" ht="13.5" hidden="1" x14ac:dyDescent="0.25">
      <c r="A75" s="101"/>
      <c r="F75" s="83">
        <v>49135</v>
      </c>
      <c r="G75">
        <v>61417</v>
      </c>
      <c r="H75" s="52">
        <f>G75/F75-1</f>
        <v>0.24996438384043951</v>
      </c>
    </row>
    <row r="76" spans="1:15" hidden="1" x14ac:dyDescent="0.25">
      <c r="A76" s="552" t="s">
        <v>45</v>
      </c>
      <c r="B76" s="545">
        <f>B64</f>
        <v>2021</v>
      </c>
      <c r="C76" s="545"/>
      <c r="D76" s="545"/>
      <c r="E76" s="545"/>
      <c r="F76" s="550" t="s">
        <v>109</v>
      </c>
      <c r="G76" s="551"/>
      <c r="H76" s="551"/>
      <c r="I76" s="230">
        <f>(B79/D16)^(1/20)-1</f>
        <v>5.7601304896242045E-3</v>
      </c>
      <c r="J76" t="s">
        <v>111</v>
      </c>
    </row>
    <row r="77" spans="1:15" ht="25" hidden="1" x14ac:dyDescent="0.25">
      <c r="A77" s="553"/>
      <c r="B77" s="94" t="s">
        <v>41</v>
      </c>
      <c r="C77" s="94" t="s">
        <v>91</v>
      </c>
      <c r="D77" s="141" t="str">
        <f>D65</f>
        <v>Evolution par rapport à 2020</v>
      </c>
      <c r="E77" s="94" t="s">
        <v>42</v>
      </c>
    </row>
    <row r="78" spans="1:15" hidden="1" x14ac:dyDescent="0.25">
      <c r="A78" s="87" t="s">
        <v>70</v>
      </c>
      <c r="B78" s="88">
        <f>'DonnéesGraph ok'!W14</f>
        <v>12146584</v>
      </c>
      <c r="C78" s="89">
        <f>B78/$B$83</f>
        <v>0.61681272651073893</v>
      </c>
      <c r="D78" s="128">
        <f>B78/B57-1</f>
        <v>8.467615557019581E-3</v>
      </c>
      <c r="E78" s="89">
        <f>B78/D15-1</f>
        <v>0.67603495632942545</v>
      </c>
    </row>
    <row r="79" spans="1:15" hidden="1" x14ac:dyDescent="0.25">
      <c r="A79" s="95" t="s">
        <v>71</v>
      </c>
      <c r="B79" s="92">
        <f>'DonnéesGraph ok'!W12</f>
        <v>1679951</v>
      </c>
      <c r="C79" s="93">
        <f>B79/$B$83</f>
        <v>8.5309182953367174E-2</v>
      </c>
      <c r="D79" s="229">
        <f>B79/B58-1</f>
        <v>-1.7736799576211215E-2</v>
      </c>
      <c r="E79" s="89">
        <f t="shared" ref="E79:E83" si="11">B79/D16-1</f>
        <v>0.12172994498688938</v>
      </c>
      <c r="F79" s="132"/>
    </row>
    <row r="80" spans="1:15" hidden="1" x14ac:dyDescent="0.25">
      <c r="A80" s="87" t="s">
        <v>72</v>
      </c>
      <c r="B80" s="245">
        <f>'DonnéesGraph ok'!W13</f>
        <v>1062308</v>
      </c>
      <c r="C80" s="89">
        <f>B80/$B$83</f>
        <v>5.3944804059657438E-2</v>
      </c>
      <c r="D80" s="280">
        <f t="shared" ref="D80:D82" si="12">B80/B59-1</f>
        <v>-3.895013579261819E-2</v>
      </c>
      <c r="E80" s="244">
        <f t="shared" si="11"/>
        <v>-0.38440338051152723</v>
      </c>
      <c r="F80" s="121">
        <f>B79+B80</f>
        <v>2742259</v>
      </c>
      <c r="G80" s="122">
        <f>(F80/F59)-1</f>
        <v>-2.6064692745684126E-2</v>
      </c>
      <c r="H80" s="122"/>
    </row>
    <row r="81" spans="1:15" hidden="1" x14ac:dyDescent="0.25">
      <c r="A81" s="95" t="str">
        <f>+A50</f>
        <v>Régime des indépendants</v>
      </c>
      <c r="B81" s="247">
        <f>'DonnéesGraph ok'!W15</f>
        <v>1485246</v>
      </c>
      <c r="C81" s="93">
        <f>B81/$B$83</f>
        <v>7.5421915725373406E-2</v>
      </c>
      <c r="D81" s="128">
        <f t="shared" si="12"/>
        <v>5.8696486947193982E-3</v>
      </c>
      <c r="E81" s="89">
        <f t="shared" si="11"/>
        <v>0.50490151873621358</v>
      </c>
      <c r="H81" s="122"/>
    </row>
    <row r="82" spans="1:15" hidden="1" x14ac:dyDescent="0.25">
      <c r="A82" s="87" t="s">
        <v>36</v>
      </c>
      <c r="B82" s="92">
        <f>'DonnéesGraph ok'!W16</f>
        <v>3318410</v>
      </c>
      <c r="C82" s="89">
        <f>B82/$B$83</f>
        <v>0.16851137075086306</v>
      </c>
      <c r="D82" s="128">
        <f t="shared" si="12"/>
        <v>3.7814566263997706E-2</v>
      </c>
      <c r="E82" s="89">
        <f>B82/D19-1</f>
        <v>0.8712778549391853</v>
      </c>
      <c r="F82" s="137"/>
    </row>
    <row r="83" spans="1:15" ht="13" hidden="1" x14ac:dyDescent="0.3">
      <c r="A83" s="90" t="s">
        <v>43</v>
      </c>
      <c r="B83" s="91">
        <f>SUM(B78:B82)</f>
        <v>19692499</v>
      </c>
      <c r="C83" s="171">
        <f>SUM(C78:C82)</f>
        <v>1</v>
      </c>
      <c r="D83" s="129">
        <f>B83/B62-1</f>
        <v>8.0974920038168197E-3</v>
      </c>
      <c r="E83" s="321">
        <f t="shared" si="11"/>
        <v>0.48838410341452754</v>
      </c>
    </row>
    <row r="84" spans="1:15" ht="13" hidden="1" x14ac:dyDescent="0.3">
      <c r="A84" s="541" t="s">
        <v>128</v>
      </c>
      <c r="B84" s="322">
        <f>B78/B66</f>
        <v>0.50460426134552039</v>
      </c>
      <c r="C84" s="325">
        <f>B78+B79+B80+B81</f>
        <v>16374089</v>
      </c>
    </row>
    <row r="85" spans="1:15" hidden="1" x14ac:dyDescent="0.25">
      <c r="A85" s="542"/>
      <c r="B85" s="323">
        <f>B79/B67</f>
        <v>2.0449799147900181</v>
      </c>
    </row>
    <row r="86" spans="1:15" hidden="1" x14ac:dyDescent="0.25">
      <c r="A86" s="543"/>
      <c r="B86" s="324">
        <f>B67/B79</f>
        <v>0.48900235780686463</v>
      </c>
    </row>
    <row r="87" spans="1:15" ht="13" hidden="1" x14ac:dyDescent="0.3">
      <c r="A87" s="107"/>
      <c r="B87" s="295" t="b">
        <f>B83='DonnéesGraph ok'!AC17</f>
        <v>0</v>
      </c>
      <c r="C87" s="106"/>
      <c r="D87" s="106"/>
      <c r="E87" s="106"/>
      <c r="F87" s="106"/>
      <c r="G87" s="107"/>
      <c r="H87" s="107"/>
      <c r="I87" s="474">
        <f>(B91/D4)^(1/21)-1</f>
        <v>1.1364414086359353E-2</v>
      </c>
      <c r="J87" s="107"/>
    </row>
    <row r="88" spans="1:15" x14ac:dyDescent="0.25">
      <c r="A88" s="556" t="s">
        <v>44</v>
      </c>
      <c r="B88" s="558">
        <v>2022</v>
      </c>
      <c r="C88" s="559"/>
      <c r="D88" s="559"/>
      <c r="E88" s="560"/>
      <c r="F88" s="561" t="s">
        <v>108</v>
      </c>
      <c r="G88" s="562"/>
      <c r="H88" s="562"/>
      <c r="I88" s="474">
        <f>(B90/D3)^(1/21)-1</f>
        <v>2.1924867741668796E-2</v>
      </c>
      <c r="J88" s="107" t="s">
        <v>111</v>
      </c>
    </row>
    <row r="89" spans="1:15" s="84" customFormat="1" ht="25.5" customHeight="1" x14ac:dyDescent="0.25">
      <c r="A89" s="557"/>
      <c r="B89" s="339" t="s">
        <v>41</v>
      </c>
      <c r="C89" s="340" t="s">
        <v>91</v>
      </c>
      <c r="D89" s="341" t="s">
        <v>127</v>
      </c>
      <c r="E89" s="342" t="s">
        <v>42</v>
      </c>
      <c r="F89" s="297">
        <f>B67+B70</f>
        <v>1258363</v>
      </c>
      <c r="G89" s="298"/>
      <c r="H89" s="298"/>
      <c r="I89" s="298"/>
      <c r="J89" s="107"/>
      <c r="K89"/>
      <c r="L89"/>
      <c r="M89"/>
      <c r="N89"/>
      <c r="O89"/>
    </row>
    <row r="90" spans="1:15" ht="14.5" x14ac:dyDescent="0.25">
      <c r="A90" s="326" t="s">
        <v>75</v>
      </c>
      <c r="B90" s="305">
        <f>'DonnéesGraph ok'!X4</f>
        <v>24305682</v>
      </c>
      <c r="C90" s="306">
        <f>B90/$B$97</f>
        <v>0.72230284070571216</v>
      </c>
      <c r="D90" s="307">
        <f t="shared" ref="D90:D97" si="13">B90/B66-1</f>
        <v>9.7283904766236606E-3</v>
      </c>
      <c r="E90" s="329">
        <f>B90/D3-1</f>
        <v>0.57687881087275605</v>
      </c>
      <c r="F90" s="299">
        <f>B91+B94</f>
        <v>1266239</v>
      </c>
      <c r="G90" s="300">
        <f>F90/F89-1</f>
        <v>6.2589252862648159E-3</v>
      </c>
      <c r="H90" s="300">
        <f>(B90+B91+B94+B95)/B97</f>
        <v>0.83773922731366302</v>
      </c>
      <c r="I90" s="282"/>
      <c r="J90" s="107"/>
    </row>
    <row r="91" spans="1:15" ht="14.5" x14ac:dyDescent="0.25">
      <c r="A91" s="327" t="s">
        <v>73</v>
      </c>
      <c r="B91" s="305">
        <f>B92+B93</f>
        <v>836158</v>
      </c>
      <c r="C91" s="306">
        <f t="shared" ref="C91:C97" si="14">B91/$B$97</f>
        <v>2.4848481876740051E-2</v>
      </c>
      <c r="D91" s="308">
        <f t="shared" si="13"/>
        <v>1.7842970176506379E-2</v>
      </c>
      <c r="E91" s="330">
        <f>B91/D4-1</f>
        <v>0.26783003977140907</v>
      </c>
      <c r="F91" s="299"/>
      <c r="G91" s="107"/>
      <c r="H91" s="107"/>
      <c r="I91" s="107"/>
      <c r="J91" s="107"/>
    </row>
    <row r="92" spans="1:15" ht="13" x14ac:dyDescent="0.3">
      <c r="A92" s="328" t="str">
        <f>A68</f>
        <v>dont actifs cotisants</v>
      </c>
      <c r="B92" s="309">
        <v>737934</v>
      </c>
      <c r="C92" s="310">
        <f t="shared" si="14"/>
        <v>2.1929515265332978E-2</v>
      </c>
      <c r="D92" s="311">
        <f t="shared" si="13"/>
        <v>3.2528970764783338E-2</v>
      </c>
      <c r="E92" s="331"/>
      <c r="F92" s="299"/>
      <c r="G92" s="107"/>
      <c r="H92" s="107"/>
      <c r="I92" s="107"/>
      <c r="J92" s="107"/>
    </row>
    <row r="93" spans="1:15" ht="13" x14ac:dyDescent="0.3">
      <c r="A93" s="328" t="str">
        <f>A69</f>
        <v>dont cotisants chômeurs, stagiaires et apprentis</v>
      </c>
      <c r="B93" s="309">
        <v>98224</v>
      </c>
      <c r="C93" s="310">
        <f t="shared" si="14"/>
        <v>2.9189666114070719E-3</v>
      </c>
      <c r="D93" s="312">
        <f t="shared" si="13"/>
        <v>-8.042016964068377E-2</v>
      </c>
      <c r="E93" s="331"/>
      <c r="F93" s="299"/>
      <c r="G93" s="107"/>
      <c r="H93" s="107"/>
      <c r="I93" s="107"/>
      <c r="J93" s="107"/>
    </row>
    <row r="94" spans="1:15" x14ac:dyDescent="0.25">
      <c r="A94" s="327" t="s">
        <v>72</v>
      </c>
      <c r="B94" s="313">
        <f>'DonnéesGraph ok'!X3</f>
        <v>430081</v>
      </c>
      <c r="C94" s="306">
        <f t="shared" si="14"/>
        <v>1.2780909749150565E-2</v>
      </c>
      <c r="D94" s="314">
        <f t="shared" si="13"/>
        <v>-1.5524317692274248E-2</v>
      </c>
      <c r="E94" s="332">
        <f>B94/D7-1</f>
        <v>-0.37397234352256181</v>
      </c>
      <c r="F94" s="106"/>
      <c r="G94" s="107"/>
      <c r="H94" s="107"/>
      <c r="I94" s="107"/>
      <c r="J94" s="107"/>
    </row>
    <row r="95" spans="1:15" x14ac:dyDescent="0.25">
      <c r="A95" s="327" t="str">
        <f>A71</f>
        <v>Régime des indépendants</v>
      </c>
      <c r="B95" s="315">
        <f>'DonnéesGraph ok'!X5</f>
        <v>2618226</v>
      </c>
      <c r="C95" s="306">
        <f t="shared" si="14"/>
        <v>7.7806994982060326E-2</v>
      </c>
      <c r="D95" s="316">
        <f t="shared" si="13"/>
        <v>6.9562542561279139E-2</v>
      </c>
      <c r="E95" s="333">
        <f>B95/D8-1</f>
        <v>1.3520725288526236</v>
      </c>
      <c r="F95" s="106"/>
      <c r="G95" s="107"/>
      <c r="H95" s="107"/>
      <c r="I95" s="107"/>
      <c r="J95" s="107"/>
    </row>
    <row r="96" spans="1:15" x14ac:dyDescent="0.25">
      <c r="A96" s="327" t="s">
        <v>36</v>
      </c>
      <c r="B96" s="305">
        <f>'DonnéesGraph ok'!X6</f>
        <v>5460118</v>
      </c>
      <c r="C96" s="306">
        <f t="shared" si="14"/>
        <v>0.16226077268633693</v>
      </c>
      <c r="D96" s="307">
        <f t="shared" si="13"/>
        <v>4.7071167240189116E-3</v>
      </c>
      <c r="E96" s="333">
        <f>B96/D9-1</f>
        <v>8.1456900912563635E-2</v>
      </c>
      <c r="F96" s="106"/>
      <c r="G96" s="107"/>
      <c r="H96" s="107"/>
      <c r="I96" s="107"/>
      <c r="J96" s="107"/>
    </row>
    <row r="97" spans="1:11" s="85" customFormat="1" ht="13" x14ac:dyDescent="0.3">
      <c r="A97" s="334" t="s">
        <v>43</v>
      </c>
      <c r="B97" s="335">
        <f>B90+B91+B94+B95+B96</f>
        <v>33650265</v>
      </c>
      <c r="C97" s="336">
        <f t="shared" si="14"/>
        <v>1</v>
      </c>
      <c r="D97" s="337">
        <f t="shared" si="13"/>
        <v>1.318542809351686E-2</v>
      </c>
      <c r="E97" s="338">
        <f>B97/D10-1</f>
        <v>0.46801292643912773</v>
      </c>
      <c r="F97" s="301"/>
      <c r="G97" s="104"/>
      <c r="H97" s="104"/>
      <c r="I97" s="104"/>
      <c r="J97" s="104"/>
    </row>
    <row r="98" spans="1:11" ht="14" x14ac:dyDescent="0.3">
      <c r="A98" s="348" t="s">
        <v>74</v>
      </c>
      <c r="B98" s="295" t="b">
        <f>B97='DonnéesGraph ok'!X7</f>
        <v>1</v>
      </c>
      <c r="C98" s="377">
        <f>B90+B91+B94+B95</f>
        <v>28190147</v>
      </c>
      <c r="D98" s="378">
        <f>C90+C91+C94+C95</f>
        <v>0.83773922731366313</v>
      </c>
      <c r="E98" s="304"/>
      <c r="F98" s="106"/>
      <c r="G98" s="107"/>
      <c r="H98" s="107"/>
      <c r="I98" s="107"/>
      <c r="J98" s="107"/>
    </row>
    <row r="99" spans="1:11" ht="13.5" x14ac:dyDescent="0.25">
      <c r="A99" s="318"/>
      <c r="B99" s="106"/>
      <c r="C99" s="540" t="s">
        <v>129</v>
      </c>
      <c r="D99" s="540"/>
      <c r="E99" s="106"/>
      <c r="F99" s="106"/>
      <c r="G99" s="107"/>
      <c r="H99" s="107"/>
      <c r="I99" s="107"/>
      <c r="J99" s="107"/>
    </row>
    <row r="100" spans="1:11" x14ac:dyDescent="0.25">
      <c r="A100" s="556" t="s">
        <v>45</v>
      </c>
      <c r="B100" s="558">
        <f>B88</f>
        <v>2022</v>
      </c>
      <c r="C100" s="559"/>
      <c r="D100" s="559"/>
      <c r="E100" s="560"/>
      <c r="F100" s="561" t="s">
        <v>109</v>
      </c>
      <c r="G100" s="562"/>
      <c r="H100" s="562"/>
      <c r="I100" s="474">
        <f>(B102/D15)^(1/21)-1</f>
        <v>2.5533916787025213E-2</v>
      </c>
      <c r="J100" s="349" t="s">
        <v>111</v>
      </c>
    </row>
    <row r="101" spans="1:11" ht="25" x14ac:dyDescent="0.25">
      <c r="A101" s="557"/>
      <c r="B101" s="339" t="s">
        <v>41</v>
      </c>
      <c r="C101" s="340" t="s">
        <v>91</v>
      </c>
      <c r="D101" s="341" t="str">
        <f>D89</f>
        <v>Evolution par rapport à 2021</v>
      </c>
      <c r="E101" s="342" t="s">
        <v>42</v>
      </c>
      <c r="F101" s="106"/>
      <c r="G101" s="107"/>
      <c r="H101" s="107"/>
      <c r="I101" s="107"/>
      <c r="J101" s="107"/>
      <c r="K101" s="145"/>
    </row>
    <row r="102" spans="1:11" x14ac:dyDescent="0.25">
      <c r="A102" s="359" t="s">
        <v>70</v>
      </c>
      <c r="B102" s="350">
        <f>'DonnéesGraph ok'!X14</f>
        <v>12306135</v>
      </c>
      <c r="C102" s="351">
        <f>B102/$B$107</f>
        <v>0.62077587860690864</v>
      </c>
      <c r="D102" s="352">
        <f t="shared" ref="D102:D107" si="15">B102/B78-1</f>
        <v>1.3135462612368975E-2</v>
      </c>
      <c r="E102" s="353">
        <f t="shared" ref="E102:E107" si="16">B102/D15-1</f>
        <v>0.69805045083531403</v>
      </c>
      <c r="F102" s="106"/>
      <c r="G102" s="107"/>
      <c r="H102" s="107"/>
      <c r="I102" s="107"/>
      <c r="J102" s="107"/>
    </row>
    <row r="103" spans="1:11" x14ac:dyDescent="0.25">
      <c r="A103" s="360" t="s">
        <v>71</v>
      </c>
      <c r="B103" s="345">
        <f>'DonnéesGraph ok'!X12</f>
        <v>1655898</v>
      </c>
      <c r="C103" s="319">
        <f>B103/$B$107</f>
        <v>8.3530819045412943E-2</v>
      </c>
      <c r="D103" s="308">
        <f t="shared" si="15"/>
        <v>-1.4317679503747405E-2</v>
      </c>
      <c r="E103" s="354">
        <f t="shared" si="16"/>
        <v>0.10566937514481078</v>
      </c>
      <c r="F103" s="384" t="s">
        <v>130</v>
      </c>
      <c r="G103" s="386" t="s">
        <v>131</v>
      </c>
      <c r="H103" s="107"/>
      <c r="I103" s="107"/>
      <c r="J103" s="107"/>
    </row>
    <row r="104" spans="1:11" ht="13" x14ac:dyDescent="0.3">
      <c r="A104" s="360" t="s">
        <v>72</v>
      </c>
      <c r="B104" s="346">
        <f>'DonnéesGraph ok'!X13</f>
        <v>1023825</v>
      </c>
      <c r="C104" s="319">
        <f>B104/$B$107</f>
        <v>5.1646261309072121E-2</v>
      </c>
      <c r="D104" s="320">
        <f t="shared" si="15"/>
        <v>-3.6225840340089688E-2</v>
      </c>
      <c r="E104" s="385">
        <f t="shared" si="16"/>
        <v>-0.4067038853630156</v>
      </c>
      <c r="F104" s="343">
        <f>B103+B104</f>
        <v>2679723</v>
      </c>
      <c r="G104" s="383">
        <f>(F104/F80)-1</f>
        <v>-2.2804556389458441E-2</v>
      </c>
      <c r="H104" s="300"/>
      <c r="I104" s="107"/>
      <c r="J104" s="107"/>
    </row>
    <row r="105" spans="1:11" x14ac:dyDescent="0.25">
      <c r="A105" s="360" t="str">
        <f>A81</f>
        <v>Régime des indépendants</v>
      </c>
      <c r="B105" s="347">
        <f>'DonnéesGraph ok'!X15</f>
        <v>1415678</v>
      </c>
      <c r="C105" s="319">
        <f>B105/$B$107</f>
        <v>7.1413059768519624E-2</v>
      </c>
      <c r="D105" s="317">
        <f t="shared" si="15"/>
        <v>-4.6839378796509124E-2</v>
      </c>
      <c r="E105" s="354">
        <f t="shared" si="16"/>
        <v>0.43441286644868637</v>
      </c>
      <c r="F105" s="106"/>
      <c r="G105" s="107"/>
      <c r="H105" s="300"/>
      <c r="I105" s="107"/>
      <c r="J105" s="107"/>
    </row>
    <row r="106" spans="1:11" x14ac:dyDescent="0.25">
      <c r="A106" s="360" t="s">
        <v>36</v>
      </c>
      <c r="B106" s="345">
        <f>'DonnéesGraph ok'!X16</f>
        <v>3422261</v>
      </c>
      <c r="C106" s="319">
        <f>B106/$B$107</f>
        <v>0.17263398127008667</v>
      </c>
      <c r="D106" s="317">
        <f t="shared" si="15"/>
        <v>3.1295409548548925E-2</v>
      </c>
      <c r="E106" s="354">
        <f t="shared" si="16"/>
        <v>0.92984026178863721</v>
      </c>
      <c r="F106" s="302"/>
      <c r="G106" s="107"/>
      <c r="H106" s="107"/>
      <c r="I106" s="107"/>
      <c r="J106" s="107"/>
    </row>
    <row r="107" spans="1:11" ht="13" x14ac:dyDescent="0.3">
      <c r="A107" s="361" t="s">
        <v>43</v>
      </c>
      <c r="B107" s="355">
        <f>SUM(B102:B106)</f>
        <v>19823797</v>
      </c>
      <c r="C107" s="356">
        <f>SUM(C102:C106)</f>
        <v>1</v>
      </c>
      <c r="D107" s="357">
        <f t="shared" si="15"/>
        <v>6.6674117896361462E-3</v>
      </c>
      <c r="E107" s="358">
        <f t="shared" si="16"/>
        <v>0.49830777313314067</v>
      </c>
      <c r="F107" s="106"/>
      <c r="G107" s="107"/>
      <c r="H107" s="107"/>
      <c r="I107" s="107"/>
      <c r="J107" s="107"/>
    </row>
    <row r="108" spans="1:11" ht="13" x14ac:dyDescent="0.3">
      <c r="A108" s="541" t="str">
        <f>A84</f>
        <v>Ratios</v>
      </c>
      <c r="B108" s="303">
        <f>B102/B90</f>
        <v>0.50630692033245561</v>
      </c>
      <c r="C108" s="344">
        <f>B102+B103+B104+B105</f>
        <v>16401536</v>
      </c>
      <c r="D108" s="106"/>
      <c r="E108" s="106"/>
      <c r="F108" s="106"/>
      <c r="G108" s="107"/>
      <c r="H108" s="107"/>
      <c r="I108" s="107"/>
      <c r="J108" s="107"/>
    </row>
    <row r="109" spans="1:11" x14ac:dyDescent="0.25">
      <c r="A109" s="542"/>
      <c r="B109" s="303">
        <f>B103/B91</f>
        <v>1.9803649549487059</v>
      </c>
      <c r="D109" s="389"/>
      <c r="E109" s="106"/>
      <c r="F109" s="106"/>
      <c r="G109" s="107"/>
      <c r="H109" s="107"/>
      <c r="I109" s="107"/>
      <c r="J109" s="107"/>
    </row>
    <row r="110" spans="1:11" x14ac:dyDescent="0.25">
      <c r="A110" s="543"/>
      <c r="B110" s="303">
        <f>B94/B104</f>
        <v>0.42007276634190416</v>
      </c>
      <c r="D110" s="389"/>
      <c r="E110" s="106"/>
      <c r="F110" s="106"/>
      <c r="G110" s="107"/>
      <c r="H110" s="107"/>
      <c r="I110" s="107"/>
      <c r="J110" s="107"/>
    </row>
    <row r="111" spans="1:11" ht="13" x14ac:dyDescent="0.3">
      <c r="A111" s="107"/>
      <c r="B111" s="295" t="b">
        <f>B107='DonnéesGraph ok'!X17</f>
        <v>1</v>
      </c>
      <c r="C111" s="106"/>
      <c r="D111" s="106"/>
      <c r="E111" s="106"/>
      <c r="F111" s="106"/>
      <c r="G111" s="107"/>
      <c r="H111" s="107"/>
      <c r="I111" s="107"/>
      <c r="J111" s="107"/>
    </row>
    <row r="112" spans="1:11" ht="13" x14ac:dyDescent="0.3">
      <c r="A112" s="107"/>
      <c r="B112" s="295"/>
      <c r="C112" s="106"/>
      <c r="D112" s="106"/>
      <c r="E112" s="106"/>
      <c r="F112" s="106"/>
      <c r="G112" s="107"/>
      <c r="H112" s="107"/>
      <c r="I112" s="296">
        <f>(B116/D4)^(1/22)-1</f>
        <v>1.035022011428488E-2</v>
      </c>
      <c r="J112" s="107"/>
    </row>
    <row r="113" spans="1:15" x14ac:dyDescent="0.25">
      <c r="A113" s="533" t="s">
        <v>44</v>
      </c>
      <c r="B113" s="535">
        <v>2023</v>
      </c>
      <c r="C113" s="536"/>
      <c r="D113" s="536"/>
      <c r="E113" s="537"/>
      <c r="F113" s="538" t="s">
        <v>108</v>
      </c>
      <c r="G113" s="539"/>
      <c r="H113" s="539"/>
      <c r="I113" s="296">
        <f>(B115/D3)^(1/22)-1</f>
        <v>2.1432284301194704E-2</v>
      </c>
      <c r="J113" s="349"/>
    </row>
    <row r="114" spans="1:15" s="84" customFormat="1" ht="25.5" customHeight="1" x14ac:dyDescent="0.25">
      <c r="A114" s="534"/>
      <c r="B114" s="462" t="s">
        <v>41</v>
      </c>
      <c r="C114" s="463" t="s">
        <v>91</v>
      </c>
      <c r="D114" s="464" t="s">
        <v>138</v>
      </c>
      <c r="E114" s="465" t="s">
        <v>42</v>
      </c>
      <c r="F114" s="297">
        <f>B94+B91</f>
        <v>1266239</v>
      </c>
      <c r="G114" s="298"/>
      <c r="H114" s="298"/>
      <c r="I114" s="298"/>
      <c r="J114" s="107"/>
      <c r="K114"/>
      <c r="L114"/>
      <c r="M114"/>
      <c r="N114"/>
      <c r="O114"/>
    </row>
    <row r="115" spans="1:15" ht="14.5" x14ac:dyDescent="0.25">
      <c r="A115" s="466" t="s">
        <v>75</v>
      </c>
      <c r="B115" s="305">
        <f>'DonnéesGraph ok'!Y4</f>
        <v>24576513</v>
      </c>
      <c r="C115" s="306">
        <f>B115/$B$122</f>
        <v>0.72287741915558701</v>
      </c>
      <c r="D115" s="307">
        <f t="shared" ref="D115:D122" si="17">B115/B90-1</f>
        <v>1.1142703175331503E-2</v>
      </c>
      <c r="E115" s="329">
        <f>B115/D3-1</f>
        <v>0.59444950340578107</v>
      </c>
      <c r="F115" s="299">
        <f>B116+B119</f>
        <v>1248580</v>
      </c>
      <c r="G115" s="300">
        <f>F115/F114-1</f>
        <v>-1.394602440771453E-2</v>
      </c>
      <c r="H115" s="300">
        <f>(B115+B116+B119+B120)/B122</f>
        <v>0.84037143170184869</v>
      </c>
      <c r="I115" s="282"/>
      <c r="J115" s="107"/>
    </row>
    <row r="116" spans="1:15" ht="14.5" x14ac:dyDescent="0.25">
      <c r="A116" s="410" t="s">
        <v>73</v>
      </c>
      <c r="B116" s="305">
        <f>B117+B118</f>
        <v>827199</v>
      </c>
      <c r="C116" s="306">
        <f>B116/$B$122</f>
        <v>2.4330688338418165E-2</v>
      </c>
      <c r="D116" s="308">
        <f t="shared" si="17"/>
        <v>-1.0714482191164776E-2</v>
      </c>
      <c r="E116" s="330">
        <f>B116/D4-1</f>
        <v>0.25424589738885461</v>
      </c>
      <c r="F116" s="299"/>
      <c r="G116" s="107"/>
      <c r="H116" s="107"/>
      <c r="I116" s="107"/>
      <c r="J116" s="107"/>
    </row>
    <row r="117" spans="1:15" ht="13" x14ac:dyDescent="0.3">
      <c r="A117" s="467" t="str">
        <f>A95</f>
        <v>Régime des indépendants</v>
      </c>
      <c r="B117" s="309">
        <v>758344</v>
      </c>
      <c r="C117" s="310">
        <f>B117/$B$122</f>
        <v>2.2305432571013004E-2</v>
      </c>
      <c r="D117" s="311">
        <f t="shared" si="17"/>
        <v>2.7658300064775432E-2</v>
      </c>
      <c r="E117" s="331"/>
      <c r="F117" s="299"/>
      <c r="G117" s="107"/>
      <c r="H117" s="107"/>
      <c r="I117" s="107"/>
      <c r="J117" s="107"/>
    </row>
    <row r="118" spans="1:15" ht="13" x14ac:dyDescent="0.3">
      <c r="A118" s="467" t="str">
        <f>A96</f>
        <v>Régimes spéciaux</v>
      </c>
      <c r="B118" s="309">
        <v>68855</v>
      </c>
      <c r="C118" s="310">
        <f>B118/$B$121</f>
        <v>1.268730145861126E-2</v>
      </c>
      <c r="D118" s="312">
        <f t="shared" si="17"/>
        <v>-0.29900024433946892</v>
      </c>
      <c r="E118" s="331"/>
      <c r="F118" s="299"/>
      <c r="G118" s="107"/>
      <c r="H118" s="107"/>
      <c r="I118" s="107"/>
      <c r="J118" s="107"/>
    </row>
    <row r="119" spans="1:15" x14ac:dyDescent="0.25">
      <c r="A119" s="410" t="s">
        <v>72</v>
      </c>
      <c r="B119" s="313">
        <f>'DonnéesGraph ok'!Y3</f>
        <v>421381</v>
      </c>
      <c r="C119" s="306">
        <f>B119/$B$122</f>
        <v>1.2394224101734873E-2</v>
      </c>
      <c r="D119" s="314">
        <f t="shared" si="17"/>
        <v>-2.0228747608008746E-2</v>
      </c>
      <c r="E119" s="332">
        <f>B119/D7-1</f>
        <v>-0.38663609898107709</v>
      </c>
      <c r="F119" s="106"/>
      <c r="G119" s="107"/>
      <c r="H119" s="107"/>
      <c r="I119" s="107"/>
      <c r="J119" s="107"/>
    </row>
    <row r="120" spans="1:15" x14ac:dyDescent="0.25">
      <c r="A120" s="410" t="str">
        <f>A95</f>
        <v>Régime des indépendants</v>
      </c>
      <c r="B120" s="315">
        <f>'DonnéesGraph ok'!Y5</f>
        <v>2746002</v>
      </c>
      <c r="C120" s="306">
        <f>B120/$B$122</f>
        <v>8.0769100106108632E-2</v>
      </c>
      <c r="D120" s="316">
        <f t="shared" si="17"/>
        <v>4.8802509790980553E-2</v>
      </c>
      <c r="E120" s="333">
        <f>B120/D8-1</f>
        <v>1.4668595714710504</v>
      </c>
      <c r="F120" s="106"/>
      <c r="G120" s="107"/>
      <c r="H120" s="107"/>
      <c r="I120" s="107"/>
      <c r="J120" s="107"/>
    </row>
    <row r="121" spans="1:15" x14ac:dyDescent="0.25">
      <c r="A121" s="410" t="s">
        <v>36</v>
      </c>
      <c r="B121" s="305">
        <f>'DonnéesGraph ok'!Y6</f>
        <v>5427080</v>
      </c>
      <c r="C121" s="306">
        <f>B121/$B$122</f>
        <v>0.15962856829815131</v>
      </c>
      <c r="D121" s="307">
        <f t="shared" si="17"/>
        <v>-6.050784983035129E-3</v>
      </c>
      <c r="E121" s="333">
        <f>B121/D9-1</f>
        <v>7.4913237736722094E-2</v>
      </c>
      <c r="F121" s="106"/>
      <c r="G121" s="107"/>
      <c r="H121" s="107"/>
      <c r="I121" s="107"/>
      <c r="J121" s="107"/>
    </row>
    <row r="122" spans="1:15" s="85" customFormat="1" ht="13" x14ac:dyDescent="0.3">
      <c r="A122" s="468" t="s">
        <v>43</v>
      </c>
      <c r="B122" s="335">
        <f>B115+B116+B119+B120+B121</f>
        <v>33998175</v>
      </c>
      <c r="C122" s="336">
        <f>B122/$B$122</f>
        <v>1</v>
      </c>
      <c r="D122" s="337">
        <f t="shared" si="17"/>
        <v>1.0338997330333166E-2</v>
      </c>
      <c r="E122" s="338">
        <f>B122/D10-1</f>
        <v>0.48319070816647636</v>
      </c>
      <c r="F122" s="301"/>
      <c r="G122" s="104"/>
      <c r="H122" s="104"/>
      <c r="I122" s="104"/>
      <c r="J122" s="104"/>
    </row>
    <row r="123" spans="1:15" ht="14" x14ac:dyDescent="0.3">
      <c r="A123" s="348" t="s">
        <v>74</v>
      </c>
      <c r="B123" s="295" t="b">
        <f>B122='DonnéesGraph ok'!Y7</f>
        <v>1</v>
      </c>
      <c r="C123" s="472">
        <f>B115+B116+B119+B120</f>
        <v>28571095</v>
      </c>
      <c r="D123" s="473">
        <f>C115+C116+C119+C120</f>
        <v>0.84037143170184858</v>
      </c>
      <c r="E123" s="304"/>
      <c r="F123" s="106"/>
      <c r="G123" s="107"/>
      <c r="H123" s="107"/>
      <c r="I123" s="107"/>
      <c r="J123" s="107"/>
    </row>
    <row r="124" spans="1:15" ht="13.5" x14ac:dyDescent="0.25">
      <c r="A124" s="318"/>
      <c r="B124" s="304" t="s">
        <v>111</v>
      </c>
      <c r="C124" s="540" t="s">
        <v>129</v>
      </c>
      <c r="D124" s="540"/>
      <c r="E124" s="106"/>
      <c r="F124" s="106"/>
      <c r="G124" s="107"/>
      <c r="H124" s="107"/>
      <c r="I124" s="107"/>
      <c r="J124" s="107"/>
    </row>
    <row r="125" spans="1:15" x14ac:dyDescent="0.25">
      <c r="A125" s="533" t="s">
        <v>45</v>
      </c>
      <c r="B125" s="535">
        <f>B113</f>
        <v>2023</v>
      </c>
      <c r="C125" s="536"/>
      <c r="D125" s="536"/>
      <c r="E125" s="537"/>
      <c r="F125" s="538" t="s">
        <v>109</v>
      </c>
      <c r="G125" s="539"/>
      <c r="H125" s="539"/>
      <c r="I125" s="296">
        <f>(B127/D15)^(1/22)-1</f>
        <v>2.5086210219958271E-2</v>
      </c>
      <c r="J125" s="349"/>
    </row>
    <row r="126" spans="1:15" ht="25" x14ac:dyDescent="0.25">
      <c r="A126" s="534"/>
      <c r="B126" s="462" t="s">
        <v>41</v>
      </c>
      <c r="C126" s="463" t="s">
        <v>91</v>
      </c>
      <c r="D126" s="464" t="str">
        <f>D114</f>
        <v>Evolution par rapport à 2022</v>
      </c>
      <c r="E126" s="465" t="s">
        <v>42</v>
      </c>
      <c r="F126" s="106"/>
      <c r="G126" s="107"/>
      <c r="H126" s="107"/>
      <c r="I126" s="107"/>
      <c r="J126" s="107"/>
      <c r="K126" s="145"/>
    </row>
    <row r="127" spans="1:15" x14ac:dyDescent="0.25">
      <c r="A127" s="469" t="s">
        <v>70</v>
      </c>
      <c r="B127" s="350">
        <f>'DonnéesGraph ok'!Y14</f>
        <v>12499703</v>
      </c>
      <c r="C127" s="351">
        <f>B127/$B$107</f>
        <v>0.63054030466514566</v>
      </c>
      <c r="D127" s="352">
        <f t="shared" ref="D127:D132" si="18">B127/B102-1</f>
        <v>1.5729390259411336E-2</v>
      </c>
      <c r="E127" s="353">
        <f t="shared" ref="E127:E132" si="19">B127/D15-1</f>
        <v>0.72475974905667195</v>
      </c>
      <c r="F127" s="106"/>
      <c r="G127" s="107"/>
      <c r="H127" s="107"/>
      <c r="I127" s="107"/>
      <c r="J127" s="107"/>
    </row>
    <row r="128" spans="1:15" x14ac:dyDescent="0.25">
      <c r="A128" s="470" t="s">
        <v>71</v>
      </c>
      <c r="B128" s="345">
        <f>'DonnéesGraph ok'!Y12</f>
        <v>1621516</v>
      </c>
      <c r="C128" s="319">
        <f>B128/$B$107</f>
        <v>8.1796438896140841E-2</v>
      </c>
      <c r="D128" s="308">
        <f t="shared" si="18"/>
        <v>-2.076335619706049E-2</v>
      </c>
      <c r="E128" s="354">
        <f t="shared" si="19"/>
        <v>8.2711968072497921E-2</v>
      </c>
      <c r="F128" s="384" t="s">
        <v>130</v>
      </c>
      <c r="G128" s="384" t="s">
        <v>130</v>
      </c>
      <c r="H128" s="386" t="s">
        <v>131</v>
      </c>
      <c r="I128" s="107"/>
      <c r="J128" s="107"/>
    </row>
    <row r="129" spans="1:10" ht="13" x14ac:dyDescent="0.3">
      <c r="A129" s="470" t="s">
        <v>72</v>
      </c>
      <c r="B129" s="346">
        <f>'DonnéesGraph ok'!Y13</f>
        <v>989168</v>
      </c>
      <c r="C129" s="319">
        <f>B129/$B$107</f>
        <v>4.989800894349352E-2</v>
      </c>
      <c r="D129" s="320">
        <f t="shared" si="18"/>
        <v>-3.3850511562034558E-2</v>
      </c>
      <c r="E129" s="385">
        <f t="shared" si="19"/>
        <v>-0.42678726235124498</v>
      </c>
      <c r="F129" s="343">
        <f>B128+B129</f>
        <v>2610684</v>
      </c>
      <c r="G129" s="2">
        <f>B103+B104</f>
        <v>2679723</v>
      </c>
      <c r="H129" s="383">
        <f>(F129/G129)-1</f>
        <v>-2.5763483763060591E-2</v>
      </c>
      <c r="I129" s="300"/>
      <c r="J129" s="107"/>
    </row>
    <row r="130" spans="1:10" x14ac:dyDescent="0.25">
      <c r="A130" s="470" t="str">
        <f>A120</f>
        <v>Régime des indépendants</v>
      </c>
      <c r="B130" s="347">
        <f>'DonnéesGraph ok'!Y15</f>
        <v>1375526</v>
      </c>
      <c r="C130" s="319">
        <f>B130/$B$107</f>
        <v>6.9387615298925828E-2</v>
      </c>
      <c r="D130" s="317">
        <f t="shared" si="18"/>
        <v>-2.8362381841068429E-2</v>
      </c>
      <c r="E130" s="354">
        <f t="shared" si="19"/>
        <v>0.3937295010127273</v>
      </c>
      <c r="F130" s="106"/>
      <c r="G130" s="107"/>
      <c r="H130" s="300"/>
      <c r="I130" s="107"/>
      <c r="J130" s="107"/>
    </row>
    <row r="131" spans="1:10" x14ac:dyDescent="0.25">
      <c r="A131" s="470" t="s">
        <v>36</v>
      </c>
      <c r="B131" s="345">
        <f>'DonnéesGraph ok'!Y16</f>
        <v>3519820</v>
      </c>
      <c r="C131" s="319">
        <f>B131/$B$107</f>
        <v>0.17755528872697798</v>
      </c>
      <c r="D131" s="317">
        <f t="shared" si="18"/>
        <v>2.8507176980364646E-2</v>
      </c>
      <c r="E131" s="354">
        <f t="shared" si="19"/>
        <v>0.98485455967527913</v>
      </c>
      <c r="F131" s="302"/>
      <c r="G131" s="107"/>
      <c r="H131" s="107"/>
      <c r="I131" s="107"/>
      <c r="J131" s="107"/>
    </row>
    <row r="132" spans="1:10" ht="13" x14ac:dyDescent="0.3">
      <c r="A132" s="471" t="s">
        <v>43</v>
      </c>
      <c r="B132" s="355">
        <f>SUM(B127:B131)</f>
        <v>20005733</v>
      </c>
      <c r="C132" s="356">
        <f>SUM(C127:C131)</f>
        <v>1.0091776565306838</v>
      </c>
      <c r="D132" s="357">
        <f t="shared" si="18"/>
        <v>9.1776565306838087E-3</v>
      </c>
      <c r="E132" s="358">
        <f t="shared" si="19"/>
        <v>0.51205872725221036</v>
      </c>
      <c r="F132" s="106"/>
      <c r="G132" s="107"/>
      <c r="H132" s="107"/>
      <c r="I132" s="107"/>
      <c r="J132" s="107"/>
    </row>
    <row r="133" spans="1:10" ht="13" x14ac:dyDescent="0.3">
      <c r="A133" s="530" t="s">
        <v>128</v>
      </c>
      <c r="B133" s="303">
        <f>B127/B115</f>
        <v>0.50860360051891818</v>
      </c>
      <c r="C133" s="344">
        <f>B127+B128+B129+B130</f>
        <v>16485913</v>
      </c>
      <c r="D133" s="106"/>
      <c r="E133" s="106"/>
      <c r="F133" s="106"/>
      <c r="G133" s="107"/>
      <c r="H133" s="107"/>
      <c r="I133" s="107"/>
      <c r="J133" s="107"/>
    </row>
    <row r="134" spans="1:10" x14ac:dyDescent="0.25">
      <c r="A134" s="531"/>
      <c r="B134" s="303">
        <f>B128/B116</f>
        <v>1.9602489848271094</v>
      </c>
      <c r="D134" s="389"/>
      <c r="E134" s="106"/>
      <c r="F134" s="106"/>
      <c r="G134" s="107"/>
      <c r="H134" s="107"/>
      <c r="I134" s="107"/>
      <c r="J134" s="107"/>
    </row>
    <row r="135" spans="1:10" x14ac:dyDescent="0.25">
      <c r="A135" s="532"/>
      <c r="B135" s="303">
        <f>B119/B129</f>
        <v>0.42599538197758113</v>
      </c>
      <c r="D135" s="389"/>
      <c r="E135" s="106"/>
      <c r="F135" s="106"/>
      <c r="G135" s="107"/>
      <c r="H135" s="107"/>
      <c r="I135" s="107"/>
      <c r="J135" s="107"/>
    </row>
    <row r="136" spans="1:10" ht="13" x14ac:dyDescent="0.3">
      <c r="A136" s="107"/>
      <c r="B136" s="295" t="b">
        <f>B132='DonnéesGraph ok'!Y17</f>
        <v>1</v>
      </c>
      <c r="C136" s="106"/>
      <c r="D136" s="106"/>
      <c r="E136" s="106"/>
      <c r="F136" s="106"/>
      <c r="G136" s="107"/>
      <c r="H136" s="107"/>
      <c r="I136" s="107"/>
      <c r="J136" s="107"/>
    </row>
  </sheetData>
  <mergeCells count="42">
    <mergeCell ref="A88:A89"/>
    <mergeCell ref="B88:E88"/>
    <mergeCell ref="F88:H88"/>
    <mergeCell ref="A100:A101"/>
    <mergeCell ref="B100:E100"/>
    <mergeCell ref="F100:H100"/>
    <mergeCell ref="C99:D99"/>
    <mergeCell ref="B64:E64"/>
    <mergeCell ref="F64:H64"/>
    <mergeCell ref="A76:A77"/>
    <mergeCell ref="B76:E76"/>
    <mergeCell ref="F76:H76"/>
    <mergeCell ref="A1:A2"/>
    <mergeCell ref="A13:A14"/>
    <mergeCell ref="B1:C1"/>
    <mergeCell ref="D1:E1"/>
    <mergeCell ref="B13:C13"/>
    <mergeCell ref="D13:E13"/>
    <mergeCell ref="A84:A86"/>
    <mergeCell ref="A108:A110"/>
    <mergeCell ref="J23:O29"/>
    <mergeCell ref="B22:E22"/>
    <mergeCell ref="A22:A23"/>
    <mergeCell ref="A34:A35"/>
    <mergeCell ref="B34:E34"/>
    <mergeCell ref="F22:H22"/>
    <mergeCell ref="F34:H34"/>
    <mergeCell ref="A43:A44"/>
    <mergeCell ref="B43:E43"/>
    <mergeCell ref="F43:H43"/>
    <mergeCell ref="A55:A56"/>
    <mergeCell ref="B55:E55"/>
    <mergeCell ref="F55:H55"/>
    <mergeCell ref="A64:A65"/>
    <mergeCell ref="A133:A135"/>
    <mergeCell ref="A113:A114"/>
    <mergeCell ref="B113:E113"/>
    <mergeCell ref="F113:H113"/>
    <mergeCell ref="C124:D124"/>
    <mergeCell ref="A125:A126"/>
    <mergeCell ref="B125:E125"/>
    <mergeCell ref="F125:H12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S28"/>
  <sheetViews>
    <sheetView showGridLines="0" zoomScale="90" zoomScaleNormal="90" workbookViewId="0"/>
  </sheetViews>
  <sheetFormatPr baseColWidth="10" defaultRowHeight="12.5" x14ac:dyDescent="0.25"/>
  <sheetData>
    <row r="28" spans="19:19" x14ac:dyDescent="0.25">
      <c r="S28" s="1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099C-4DC9-4A77-BD3F-6A86865A815C}">
  <dimension ref="A1"/>
  <sheetViews>
    <sheetView zoomScale="90" zoomScaleNormal="90" workbookViewId="0">
      <selection activeCell="P10" sqref="P10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17</vt:i4>
      </vt:variant>
      <vt:variant>
        <vt:lpstr>Graphiques</vt:lpstr>
      </vt:variant>
      <vt:variant>
        <vt:i4>14</vt:i4>
      </vt:variant>
      <vt:variant>
        <vt:lpstr>Plages nommées</vt:lpstr>
      </vt:variant>
      <vt:variant>
        <vt:i4>2</vt:i4>
      </vt:variant>
    </vt:vector>
  </HeadingPairs>
  <TitlesOfParts>
    <vt:vector size="33" baseType="lpstr">
      <vt:lpstr>Compensation démographique</vt:lpstr>
      <vt:lpstr>Préface</vt:lpstr>
      <vt:lpstr>Compléter avc fascic acompte ok</vt:lpstr>
      <vt:lpstr>Regimes ok</vt:lpstr>
      <vt:lpstr>Effectifs ok</vt:lpstr>
      <vt:lpstr>DonnéesGraph ok</vt:lpstr>
      <vt:lpstr>Tabl1&amp;2 ok</vt:lpstr>
      <vt:lpstr>Graph1_CotPv ok</vt:lpstr>
      <vt:lpstr>Graph1_CotPv 2</vt:lpstr>
      <vt:lpstr>Graph2_Retr 2</vt:lpstr>
      <vt:lpstr>Graph3_NSA (2) NU</vt:lpstr>
      <vt:lpstr>Graph7_RappDemo FT AC</vt:lpstr>
      <vt:lpstr>TransfertCompDemo_1 ok</vt:lpstr>
      <vt:lpstr>TransfertCompDemo_2 ok </vt:lpstr>
      <vt:lpstr>DonnéesGraph9&amp;10 ok</vt:lpstr>
      <vt:lpstr>Graph9 FT ko</vt:lpstr>
      <vt:lpstr>Graph10 FT ko</vt:lpstr>
      <vt:lpstr>Graph2_Retr ok</vt:lpstr>
      <vt:lpstr>Graph3_NSA ok</vt:lpstr>
      <vt:lpstr>Graph4_SA ok</vt:lpstr>
      <vt:lpstr>Graph4_SA (2) NU</vt:lpstr>
      <vt:lpstr>Graph5_RSI ok</vt:lpstr>
      <vt:lpstr>Graph6_RG ok</vt:lpstr>
      <vt:lpstr>Graph7_RappDemo ok</vt:lpstr>
      <vt:lpstr>Graph8_TranfComDemo ok</vt:lpstr>
      <vt:lpstr>(Graph9_TranfComDemo) (2) ok</vt:lpstr>
      <vt:lpstr>Graph9 ok</vt:lpstr>
      <vt:lpstr>Graph10 ok</vt:lpstr>
      <vt:lpstr>Graph11_NSA (3) ok</vt:lpstr>
      <vt:lpstr>Graph12_SA (3) ok</vt:lpstr>
      <vt:lpstr>Graph13_TranfComDemo (3) ok</vt:lpstr>
      <vt:lpstr>'TransfertCompDemo_1 ok'!Zone_d_impression</vt:lpstr>
      <vt:lpstr>'TransfertCompDemo_2 ok '!Zone_d_impression</vt:lpstr>
    </vt:vector>
  </TitlesOfParts>
  <Company>GETIMA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</dc:creator>
  <cp:lastModifiedBy>Claudine Gaillard</cp:lastModifiedBy>
  <cp:lastPrinted>2013-12-05T15:17:10Z</cp:lastPrinted>
  <dcterms:created xsi:type="dcterms:W3CDTF">2009-12-30T09:15:06Z</dcterms:created>
  <dcterms:modified xsi:type="dcterms:W3CDTF">2025-06-02T09:34:09Z</dcterms:modified>
</cp:coreProperties>
</file>