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21-STATISTIQUES\01_STATS_MISSION_SYNTHESES\12 COMITES DE LECTURE\SY Prévisions SA 24-28 - 10 janvier\A diffuser\"/>
    </mc:Choice>
  </mc:AlternateContent>
  <xr:revisionPtr revIDLastSave="0" documentId="13_ncr:1_{AC1FFC58-C081-4E2D-B56F-7E0314375A77}" xr6:coauthVersionLast="47" xr6:coauthVersionMax="47" xr10:uidLastSave="{00000000-0000-0000-0000-000000000000}"/>
  <bookViews>
    <workbookView xWindow="-120" yWindow="-120" windowWidth="25440" windowHeight="15390" tabRatio="813" xr2:uid="{00000000-000D-0000-FFFF-FFFF00000000}"/>
  </bookViews>
  <sheets>
    <sheet name="Prévisions SA" sheetId="35" r:id="rId1"/>
    <sheet name="Glossaire" sheetId="34" r:id="rId2"/>
    <sheet name="Effectifs" sheetId="27" r:id="rId3"/>
    <sheet name="TableauxNote" sheetId="15" r:id="rId4"/>
    <sheet name="Détail CHG PDT" sheetId="28" r:id="rId5"/>
    <sheet name="RESULTAT NET" sheetId="29" r:id="rId6"/>
    <sheet name="RETRAITE" sheetId="32" state="hidden" r:id="rId7"/>
    <sheet name="TCDC SA (Charges)" sheetId="30" r:id="rId8"/>
    <sheet name="CHARGES_PRODUITS" sheetId="1" r:id="rId9"/>
    <sheet name="Prest._cotisa." sheetId="2" r:id="rId10"/>
    <sheet name="SOLDES" sheetId="26" r:id="rId11"/>
    <sheet name="Masse Salariale" sheetId="33" r:id="rId12"/>
  </sheets>
  <externalReferences>
    <externalReference r:id="rId13"/>
    <externalReference r:id="rId14"/>
    <externalReference r:id="rId15"/>
    <externalReference r:id="rId16"/>
    <externalReference r:id="rId17"/>
    <externalReference r:id="rId1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7" l="1"/>
  <c r="C1" i="27"/>
  <c r="D1" i="27" s="1"/>
  <c r="E1" i="27" s="1"/>
  <c r="F1" i="27" s="1"/>
  <c r="G1" i="27" s="1"/>
  <c r="H1" i="27" s="1"/>
  <c r="I1" i="27" s="1"/>
  <c r="S15" i="15"/>
  <c r="R15" i="15"/>
  <c r="Q15" i="15"/>
  <c r="P15" i="15"/>
  <c r="O15" i="15"/>
  <c r="N16" i="15" l="1"/>
  <c r="B22" i="30" l="1"/>
  <c r="C22" i="30"/>
  <c r="I22" i="30"/>
  <c r="H22" i="30"/>
  <c r="G22" i="30"/>
  <c r="F22" i="30"/>
  <c r="E22" i="30"/>
  <c r="D22" i="30"/>
  <c r="I32" i="30"/>
  <c r="H32" i="30"/>
  <c r="G32" i="30"/>
  <c r="F32" i="30"/>
  <c r="E32" i="30"/>
  <c r="D32" i="30"/>
  <c r="C32" i="30"/>
  <c r="B32" i="30"/>
  <c r="I42" i="30"/>
  <c r="H42" i="30"/>
  <c r="N42" i="30" s="1"/>
  <c r="G42" i="30"/>
  <c r="F42" i="30"/>
  <c r="E42" i="30"/>
  <c r="D42" i="30"/>
  <c r="C42" i="30"/>
  <c r="B42" i="30"/>
  <c r="I16" i="30"/>
  <c r="H16" i="30"/>
  <c r="G16" i="30"/>
  <c r="F16" i="30"/>
  <c r="E16" i="30"/>
  <c r="D16" i="30"/>
  <c r="C16" i="30"/>
  <c r="B16" i="30"/>
  <c r="I10" i="30"/>
  <c r="H10" i="30"/>
  <c r="G10" i="30"/>
  <c r="F10" i="30"/>
  <c r="E10" i="30"/>
  <c r="D10" i="30"/>
  <c r="C10" i="30"/>
  <c r="B10" i="30"/>
  <c r="I47" i="30"/>
  <c r="H47" i="30"/>
  <c r="G47" i="30"/>
  <c r="F47" i="30"/>
  <c r="E47" i="30"/>
  <c r="D47" i="30"/>
  <c r="C47" i="30"/>
  <c r="B47" i="30"/>
  <c r="I41" i="30"/>
  <c r="H41" i="30"/>
  <c r="G41" i="30"/>
  <c r="F41" i="30"/>
  <c r="E41" i="30"/>
  <c r="D41" i="30"/>
  <c r="C41" i="30"/>
  <c r="B41" i="30"/>
  <c r="H35" i="30"/>
  <c r="G35" i="30"/>
  <c r="F35" i="30"/>
  <c r="E35" i="30"/>
  <c r="D35" i="30"/>
  <c r="C35" i="30"/>
  <c r="B35" i="30"/>
  <c r="I29" i="30"/>
  <c r="H29" i="30"/>
  <c r="G29" i="30"/>
  <c r="F29" i="30"/>
  <c r="E29" i="30"/>
  <c r="D29" i="30"/>
  <c r="C29" i="30"/>
  <c r="B29" i="30"/>
  <c r="I21" i="30"/>
  <c r="H21" i="30"/>
  <c r="G21" i="30"/>
  <c r="F21" i="30"/>
  <c r="E21" i="30"/>
  <c r="D21" i="30"/>
  <c r="C21" i="30"/>
  <c r="B21" i="30"/>
  <c r="H15" i="30"/>
  <c r="G15" i="30"/>
  <c r="F15" i="30"/>
  <c r="E15" i="30"/>
  <c r="D15" i="30"/>
  <c r="C15" i="30"/>
  <c r="B15" i="30"/>
  <c r="I9" i="30"/>
  <c r="H9" i="30"/>
  <c r="G9" i="30"/>
  <c r="F9" i="30"/>
  <c r="E9" i="30"/>
  <c r="D9" i="30"/>
  <c r="C9" i="30"/>
  <c r="B9" i="30"/>
  <c r="I46" i="30"/>
  <c r="H46" i="30"/>
  <c r="G46" i="30"/>
  <c r="F46" i="30"/>
  <c r="E46" i="30"/>
  <c r="D46" i="30"/>
  <c r="C46" i="30"/>
  <c r="B46" i="30"/>
  <c r="I40" i="30"/>
  <c r="H40" i="30"/>
  <c r="G40" i="30"/>
  <c r="F40" i="30"/>
  <c r="E40" i="30"/>
  <c r="D40" i="30"/>
  <c r="C40" i="30"/>
  <c r="B40" i="30"/>
  <c r="I34" i="30"/>
  <c r="H34" i="30"/>
  <c r="G34" i="30"/>
  <c r="F34" i="30"/>
  <c r="E34" i="30"/>
  <c r="D34" i="30"/>
  <c r="C34" i="30"/>
  <c r="B34" i="30"/>
  <c r="I28" i="30"/>
  <c r="H28" i="30"/>
  <c r="G28" i="30"/>
  <c r="F28" i="30"/>
  <c r="E28" i="30"/>
  <c r="D28" i="30"/>
  <c r="C28" i="30"/>
  <c r="B28" i="30"/>
  <c r="I20" i="30"/>
  <c r="H20" i="30"/>
  <c r="G20" i="30"/>
  <c r="F20" i="30"/>
  <c r="E20" i="30"/>
  <c r="D20" i="30"/>
  <c r="C20" i="30"/>
  <c r="B20" i="30"/>
  <c r="I14" i="30"/>
  <c r="H14" i="30"/>
  <c r="G14" i="30"/>
  <c r="F14" i="30"/>
  <c r="E14" i="30"/>
  <c r="D14" i="30"/>
  <c r="C14" i="30"/>
  <c r="B14" i="30"/>
  <c r="I8" i="30"/>
  <c r="H8" i="30"/>
  <c r="G8" i="30"/>
  <c r="F8" i="30"/>
  <c r="E8" i="30"/>
  <c r="D8" i="30"/>
  <c r="C8" i="30"/>
  <c r="B8" i="30"/>
  <c r="I45" i="30"/>
  <c r="H45" i="30"/>
  <c r="G45" i="30"/>
  <c r="F45" i="30"/>
  <c r="E45" i="30"/>
  <c r="D45" i="30"/>
  <c r="C45" i="30"/>
  <c r="B45" i="30"/>
  <c r="I39" i="30"/>
  <c r="H39" i="30"/>
  <c r="G39" i="30"/>
  <c r="F39" i="30"/>
  <c r="E39" i="30"/>
  <c r="D39" i="30"/>
  <c r="C39" i="30"/>
  <c r="B39" i="30"/>
  <c r="I33" i="30"/>
  <c r="H33" i="30"/>
  <c r="G33" i="30"/>
  <c r="F33" i="30"/>
  <c r="E33" i="30"/>
  <c r="D33" i="30"/>
  <c r="C33" i="30"/>
  <c r="B33" i="30"/>
  <c r="I27" i="30"/>
  <c r="H27" i="30"/>
  <c r="G27" i="30"/>
  <c r="F27" i="30"/>
  <c r="E27" i="30"/>
  <c r="D27" i="30"/>
  <c r="C27" i="30"/>
  <c r="B27" i="30"/>
  <c r="I19" i="30"/>
  <c r="H19" i="30"/>
  <c r="G19" i="30"/>
  <c r="F19" i="30"/>
  <c r="E19" i="30"/>
  <c r="D19" i="30"/>
  <c r="C19" i="30"/>
  <c r="B19" i="30"/>
  <c r="I13" i="30"/>
  <c r="H13" i="30"/>
  <c r="G13" i="30"/>
  <c r="F13" i="30"/>
  <c r="E13" i="30"/>
  <c r="D13" i="30"/>
  <c r="C13" i="30"/>
  <c r="B13" i="30"/>
  <c r="I7" i="30"/>
  <c r="H7" i="30"/>
  <c r="G7" i="30"/>
  <c r="F7" i="30"/>
  <c r="E7" i="30"/>
  <c r="D7" i="30"/>
  <c r="C7" i="30"/>
  <c r="B7" i="30"/>
  <c r="I44" i="30"/>
  <c r="H44" i="30"/>
  <c r="G44" i="30"/>
  <c r="F44" i="30"/>
  <c r="E44" i="30"/>
  <c r="D44" i="30"/>
  <c r="C44" i="30"/>
  <c r="B44" i="30"/>
  <c r="I38" i="30"/>
  <c r="H38" i="30"/>
  <c r="G38" i="30"/>
  <c r="F38" i="30"/>
  <c r="E38" i="30"/>
  <c r="D38" i="30"/>
  <c r="C38" i="30"/>
  <c r="B38" i="30"/>
  <c r="I26" i="30"/>
  <c r="H26" i="30"/>
  <c r="G26" i="30"/>
  <c r="F26" i="30"/>
  <c r="E26" i="30"/>
  <c r="D26" i="30"/>
  <c r="C26" i="30"/>
  <c r="B26" i="30"/>
  <c r="I18" i="30"/>
  <c r="H18" i="30"/>
  <c r="G18" i="30"/>
  <c r="F18" i="30"/>
  <c r="E18" i="30"/>
  <c r="D18" i="30"/>
  <c r="C18" i="30"/>
  <c r="B18" i="30"/>
  <c r="I12" i="30"/>
  <c r="H12" i="30"/>
  <c r="G12" i="30"/>
  <c r="F12" i="30"/>
  <c r="E12" i="30"/>
  <c r="D12" i="30"/>
  <c r="C12" i="30"/>
  <c r="B12" i="30"/>
  <c r="I6" i="30"/>
  <c r="H6" i="30"/>
  <c r="G6" i="30"/>
  <c r="F6" i="30"/>
  <c r="E6" i="30"/>
  <c r="D6" i="30"/>
  <c r="C6" i="30"/>
  <c r="B6" i="30"/>
  <c r="O42" i="30" l="1"/>
  <c r="L42" i="30"/>
  <c r="K42" i="30"/>
  <c r="J42" i="30"/>
  <c r="M42" i="30"/>
  <c r="I17" i="30"/>
  <c r="E17" i="30"/>
  <c r="K22" i="30"/>
  <c r="J22" i="30"/>
  <c r="D17" i="30"/>
  <c r="O22" i="30"/>
  <c r="F17" i="30"/>
  <c r="L22" i="30"/>
  <c r="B64" i="30"/>
  <c r="N22" i="30"/>
  <c r="G17" i="30"/>
  <c r="M22" i="30"/>
  <c r="J44" i="30"/>
  <c r="H17" i="30"/>
  <c r="I15" i="30"/>
  <c r="H55" i="28" l="1"/>
  <c r="G55" i="28"/>
  <c r="F55" i="28"/>
  <c r="E55" i="28"/>
  <c r="D55" i="28"/>
  <c r="C55" i="28"/>
  <c r="B55" i="28"/>
  <c r="H54" i="28"/>
  <c r="G54" i="28"/>
  <c r="F54" i="28"/>
  <c r="E54" i="28"/>
  <c r="D54" i="28"/>
  <c r="C54" i="28"/>
  <c r="B54" i="28"/>
  <c r="H53" i="28"/>
  <c r="G53" i="28"/>
  <c r="F53" i="28"/>
  <c r="E53" i="28"/>
  <c r="D53" i="28"/>
  <c r="C53" i="28"/>
  <c r="B53" i="28"/>
  <c r="H52" i="28"/>
  <c r="G52" i="28"/>
  <c r="F52" i="28"/>
  <c r="E52" i="28"/>
  <c r="D52" i="28"/>
  <c r="C52" i="28"/>
  <c r="B52" i="28"/>
  <c r="D49" i="28"/>
  <c r="C49" i="28"/>
  <c r="B49" i="28"/>
  <c r="H48" i="28"/>
  <c r="G48" i="28"/>
  <c r="F48" i="28"/>
  <c r="E48" i="28"/>
  <c r="D48" i="28"/>
  <c r="C48" i="28"/>
  <c r="B48" i="28"/>
  <c r="H47" i="28"/>
  <c r="G47" i="28"/>
  <c r="F47" i="28"/>
  <c r="E47" i="28"/>
  <c r="D47" i="28"/>
  <c r="C47" i="28"/>
  <c r="B47" i="28"/>
  <c r="H46" i="28"/>
  <c r="G46" i="28"/>
  <c r="F46" i="28"/>
  <c r="E46" i="28"/>
  <c r="D46" i="28"/>
  <c r="C46" i="28"/>
  <c r="B46" i="28"/>
  <c r="H45" i="28"/>
  <c r="G45" i="28"/>
  <c r="F45" i="28"/>
  <c r="E45" i="28"/>
  <c r="D45" i="28"/>
  <c r="C45" i="28"/>
  <c r="B45" i="28"/>
  <c r="H38" i="28"/>
  <c r="G38" i="28"/>
  <c r="F38" i="28"/>
  <c r="E38" i="28"/>
  <c r="D38" i="28"/>
  <c r="C38" i="28"/>
  <c r="B38" i="28"/>
  <c r="H35" i="28"/>
  <c r="G35" i="28"/>
  <c r="F35" i="28"/>
  <c r="E35" i="28"/>
  <c r="D35" i="28"/>
  <c r="C35" i="28"/>
  <c r="B35" i="28"/>
  <c r="H34" i="28"/>
  <c r="G34" i="28"/>
  <c r="F34" i="28"/>
  <c r="E34" i="28"/>
  <c r="D34" i="28"/>
  <c r="C34" i="28"/>
  <c r="B34" i="28"/>
  <c r="H33" i="28"/>
  <c r="G33" i="28"/>
  <c r="F33" i="28"/>
  <c r="E33" i="28"/>
  <c r="D33" i="28"/>
  <c r="C33" i="28"/>
  <c r="B33" i="28"/>
  <c r="H32" i="28"/>
  <c r="G32" i="28"/>
  <c r="F32" i="28"/>
  <c r="E32" i="28"/>
  <c r="D32" i="28"/>
  <c r="C32" i="28"/>
  <c r="B32" i="28"/>
  <c r="H28" i="28"/>
  <c r="G28" i="28"/>
  <c r="F28" i="28"/>
  <c r="E28" i="28"/>
  <c r="D28" i="28"/>
  <c r="C28" i="28"/>
  <c r="B28" i="28"/>
  <c r="H22" i="28"/>
  <c r="G22" i="28"/>
  <c r="F22" i="28"/>
  <c r="E22" i="28"/>
  <c r="D22" i="28"/>
  <c r="C22" i="28"/>
  <c r="B22" i="28"/>
  <c r="H21" i="28"/>
  <c r="G21" i="28"/>
  <c r="F21" i="28"/>
  <c r="E21" i="28"/>
  <c r="D21" i="28"/>
  <c r="C21" i="28"/>
  <c r="B21" i="28"/>
  <c r="H20" i="28"/>
  <c r="G20" i="28"/>
  <c r="F20" i="28"/>
  <c r="E20" i="28"/>
  <c r="D20" i="28"/>
  <c r="C20" i="28"/>
  <c r="B20" i="28"/>
  <c r="H19" i="28"/>
  <c r="G19" i="28"/>
  <c r="F19" i="28"/>
  <c r="E19" i="28"/>
  <c r="D19" i="28"/>
  <c r="C19" i="28"/>
  <c r="B19" i="28"/>
  <c r="H18" i="28"/>
  <c r="G18" i="28"/>
  <c r="F18" i="28"/>
  <c r="E18" i="28"/>
  <c r="D18" i="28"/>
  <c r="C18" i="28"/>
  <c r="B18" i="28"/>
  <c r="D50" i="28" l="1"/>
  <c r="M17" i="15"/>
  <c r="N17" i="15"/>
  <c r="M16" i="15"/>
  <c r="S16" i="15"/>
  <c r="R16" i="15"/>
  <c r="Q16" i="15"/>
  <c r="P16" i="15"/>
  <c r="O16" i="15"/>
  <c r="N15" i="15"/>
  <c r="M15" i="15"/>
  <c r="S14" i="15"/>
  <c r="R14" i="15"/>
  <c r="Q14" i="15"/>
  <c r="P14" i="15"/>
  <c r="O14" i="15"/>
  <c r="N14" i="15"/>
  <c r="M14" i="15"/>
  <c r="I53" i="15"/>
  <c r="H53" i="15"/>
  <c r="G53" i="15"/>
  <c r="F53" i="15"/>
  <c r="E53" i="15"/>
  <c r="D53" i="15"/>
  <c r="C53" i="15"/>
  <c r="I52" i="15"/>
  <c r="H52" i="15"/>
  <c r="G52" i="15"/>
  <c r="F52" i="15"/>
  <c r="E52" i="15"/>
  <c r="D52" i="15"/>
  <c r="C52" i="15"/>
  <c r="I51" i="15"/>
  <c r="H51" i="15"/>
  <c r="G51" i="15"/>
  <c r="F51" i="15"/>
  <c r="E51" i="15"/>
  <c r="D51" i="15"/>
  <c r="C51" i="15"/>
  <c r="I50" i="15"/>
  <c r="H50" i="15"/>
  <c r="G50" i="15"/>
  <c r="F50" i="15"/>
  <c r="E50" i="15"/>
  <c r="D50" i="15"/>
  <c r="C50" i="15"/>
  <c r="I49" i="15"/>
  <c r="H49" i="15"/>
  <c r="G49" i="15"/>
  <c r="F49" i="15"/>
  <c r="E49" i="15"/>
  <c r="D49" i="15"/>
  <c r="C49" i="15"/>
  <c r="I46" i="15"/>
  <c r="H46" i="15"/>
  <c r="G46" i="15"/>
  <c r="F46" i="15"/>
  <c r="E46" i="15"/>
  <c r="D46" i="15"/>
  <c r="C46" i="15"/>
  <c r="I45" i="15"/>
  <c r="H45" i="15"/>
  <c r="G45" i="15"/>
  <c r="F45" i="15"/>
  <c r="E45" i="15"/>
  <c r="D45" i="15"/>
  <c r="C45" i="15"/>
  <c r="I44" i="15"/>
  <c r="H44" i="15"/>
  <c r="G44" i="15"/>
  <c r="F44" i="15"/>
  <c r="E44" i="15"/>
  <c r="D44" i="15"/>
  <c r="C44" i="15"/>
  <c r="I43" i="15"/>
  <c r="H43" i="15"/>
  <c r="G43" i="15"/>
  <c r="F43" i="15"/>
  <c r="E43" i="15"/>
  <c r="D43" i="15"/>
  <c r="C43" i="15"/>
  <c r="I42" i="15"/>
  <c r="H42" i="15"/>
  <c r="G42" i="15"/>
  <c r="F42" i="15"/>
  <c r="E42" i="15"/>
  <c r="D42" i="15"/>
  <c r="C42" i="15"/>
  <c r="I19" i="15"/>
  <c r="H19" i="15"/>
  <c r="G19" i="15"/>
  <c r="F19" i="15"/>
  <c r="E19" i="15"/>
  <c r="D19" i="15"/>
  <c r="C19" i="15"/>
  <c r="D15" i="15"/>
  <c r="C15" i="15"/>
  <c r="I14" i="15"/>
  <c r="H14" i="15"/>
  <c r="G14" i="15"/>
  <c r="F14" i="15"/>
  <c r="E14" i="15"/>
  <c r="D14" i="15"/>
  <c r="C14" i="15"/>
  <c r="C18" i="15" s="1"/>
  <c r="I13" i="15"/>
  <c r="H13" i="15"/>
  <c r="G13" i="15"/>
  <c r="F13" i="15"/>
  <c r="E13" i="15"/>
  <c r="D13" i="15"/>
  <c r="C13" i="15"/>
  <c r="I12" i="15"/>
  <c r="H12" i="15"/>
  <c r="G12" i="15"/>
  <c r="F12" i="15"/>
  <c r="E12" i="15"/>
  <c r="D12" i="15"/>
  <c r="C12" i="15"/>
  <c r="I11" i="15"/>
  <c r="H11" i="15"/>
  <c r="G11" i="15"/>
  <c r="F11" i="15"/>
  <c r="E11" i="15"/>
  <c r="D11" i="15"/>
  <c r="C11" i="15"/>
  <c r="D9" i="15"/>
  <c r="C9" i="15"/>
  <c r="I8" i="15"/>
  <c r="H8" i="15"/>
  <c r="G8" i="15"/>
  <c r="F8" i="15"/>
  <c r="E8" i="15"/>
  <c r="D8" i="15"/>
  <c r="C8" i="15"/>
  <c r="M18" i="15" l="1"/>
  <c r="N18" i="15"/>
  <c r="C7" i="15"/>
  <c r="I6" i="15"/>
  <c r="H6" i="15"/>
  <c r="G6" i="15"/>
  <c r="F6" i="15"/>
  <c r="E6" i="15"/>
  <c r="D6" i="15"/>
  <c r="C6" i="15"/>
  <c r="I5" i="15"/>
  <c r="H5" i="15"/>
  <c r="G5" i="15"/>
  <c r="F5" i="15"/>
  <c r="E5" i="15"/>
  <c r="D5" i="15"/>
  <c r="C5" i="15"/>
  <c r="D7" i="15" l="1"/>
  <c r="E7" i="15" l="1"/>
  <c r="F7" i="15" l="1"/>
  <c r="E9" i="15" l="1"/>
  <c r="G7" i="15" l="1"/>
  <c r="O17" i="15"/>
  <c r="O18" i="15" s="1"/>
  <c r="I7" i="15" l="1"/>
  <c r="I9" i="15"/>
  <c r="G9" i="15"/>
  <c r="H7" i="15"/>
  <c r="F9" i="15" l="1"/>
  <c r="I15" i="15" l="1"/>
  <c r="S17" i="15"/>
  <c r="S18" i="15" s="1"/>
  <c r="Q17" i="15"/>
  <c r="Q18" i="15" s="1"/>
  <c r="P17" i="15"/>
  <c r="P18" i="15" s="1"/>
  <c r="H9" i="15"/>
  <c r="E15" i="15"/>
  <c r="R17" i="15" l="1"/>
  <c r="R18" i="15" s="1"/>
  <c r="G15" i="15"/>
  <c r="F15" i="15" l="1"/>
  <c r="H15" i="15" l="1"/>
  <c r="B3" i="27" l="1"/>
  <c r="I3" i="27" l="1"/>
  <c r="H3" i="27"/>
  <c r="G3" i="27"/>
  <c r="G4" i="27"/>
  <c r="H4" i="27"/>
  <c r="I4" i="27"/>
  <c r="F3" i="27"/>
  <c r="E3" i="27"/>
  <c r="D3" i="27"/>
  <c r="C3" i="27"/>
  <c r="I6" i="27" l="1"/>
  <c r="H6" i="27"/>
  <c r="G6" i="27"/>
  <c r="F6" i="27"/>
  <c r="E6" i="27"/>
  <c r="D6" i="27"/>
  <c r="C6" i="27"/>
  <c r="B6" i="27"/>
  <c r="I5" i="27"/>
  <c r="H5" i="27"/>
  <c r="G5" i="27"/>
  <c r="F5" i="27"/>
  <c r="E5" i="27"/>
  <c r="D5" i="27"/>
  <c r="C5" i="27"/>
  <c r="B5" i="27"/>
  <c r="F4" i="27"/>
  <c r="E4" i="27"/>
  <c r="D4" i="27"/>
  <c r="C4" i="27"/>
  <c r="B4" i="27"/>
  <c r="I2" i="27"/>
  <c r="H2" i="27"/>
  <c r="G2" i="27"/>
  <c r="F2" i="27"/>
  <c r="E2" i="27"/>
  <c r="D2" i="27"/>
  <c r="C2" i="27"/>
  <c r="B2" i="27"/>
  <c r="B15" i="29" l="1"/>
  <c r="C15" i="29"/>
  <c r="D15" i="29"/>
  <c r="E15" i="29"/>
  <c r="F15" i="29"/>
  <c r="A38" i="29"/>
  <c r="A26" i="29"/>
  <c r="P9" i="30" l="1"/>
  <c r="B50" i="26" l="1"/>
  <c r="B49" i="26"/>
  <c r="B51" i="26"/>
  <c r="B48" i="26"/>
  <c r="B12" i="29" l="1"/>
  <c r="C51" i="26"/>
  <c r="H50" i="26"/>
  <c r="G50" i="26"/>
  <c r="F50" i="26"/>
  <c r="E50" i="26"/>
  <c r="H49" i="26"/>
  <c r="G49" i="26"/>
  <c r="F49" i="26"/>
  <c r="E49" i="26"/>
  <c r="D49" i="26"/>
  <c r="D50" i="26" l="1"/>
  <c r="I118" i="33" l="1"/>
  <c r="G117" i="33"/>
  <c r="K115" i="33"/>
  <c r="K114" i="33"/>
  <c r="J114" i="33"/>
  <c r="I114" i="33"/>
  <c r="H114" i="33"/>
  <c r="G114" i="33"/>
  <c r="F114" i="33"/>
  <c r="E114" i="33"/>
  <c r="D114" i="33"/>
  <c r="C114" i="33"/>
  <c r="K113" i="33"/>
  <c r="J113" i="33"/>
  <c r="I113" i="33"/>
  <c r="H113" i="33"/>
  <c r="G113" i="33"/>
  <c r="F113" i="33"/>
  <c r="E113" i="33"/>
  <c r="E115" i="33" s="1"/>
  <c r="D113" i="33"/>
  <c r="C113" i="33"/>
  <c r="B113" i="33"/>
  <c r="K111" i="33"/>
  <c r="J111" i="33"/>
  <c r="I111" i="33"/>
  <c r="H111" i="33"/>
  <c r="G111" i="33"/>
  <c r="F111" i="33"/>
  <c r="E111" i="33"/>
  <c r="D111" i="33"/>
  <c r="C111" i="33"/>
  <c r="K110" i="33"/>
  <c r="J110" i="33"/>
  <c r="I110" i="33"/>
  <c r="H110" i="33"/>
  <c r="G110" i="33"/>
  <c r="F110" i="33"/>
  <c r="E110" i="33"/>
  <c r="D110" i="33"/>
  <c r="C110" i="33"/>
  <c r="H109" i="33"/>
  <c r="K108" i="33"/>
  <c r="J108" i="33"/>
  <c r="I108" i="33"/>
  <c r="H108" i="33"/>
  <c r="G108" i="33"/>
  <c r="F108" i="33"/>
  <c r="E108" i="33"/>
  <c r="D108" i="33"/>
  <c r="C108" i="33"/>
  <c r="K107" i="33"/>
  <c r="J107" i="33"/>
  <c r="I107" i="33"/>
  <c r="H107" i="33"/>
  <c r="G107" i="33"/>
  <c r="F107" i="33"/>
  <c r="E107" i="33"/>
  <c r="D107" i="33"/>
  <c r="C107" i="33"/>
  <c r="C109" i="33" s="1"/>
  <c r="J106" i="33"/>
  <c r="F106" i="33"/>
  <c r="K105" i="33"/>
  <c r="J105" i="33"/>
  <c r="I105" i="33"/>
  <c r="H105" i="33"/>
  <c r="G105" i="33"/>
  <c r="F105" i="33"/>
  <c r="E105" i="33"/>
  <c r="D105" i="33"/>
  <c r="C105" i="33"/>
  <c r="K104" i="33"/>
  <c r="J104" i="33"/>
  <c r="I104" i="33"/>
  <c r="H104" i="33"/>
  <c r="G104" i="33"/>
  <c r="F104" i="33"/>
  <c r="E104" i="33"/>
  <c r="D104" i="33"/>
  <c r="C104" i="33"/>
  <c r="K103" i="33"/>
  <c r="J103" i="33"/>
  <c r="I103" i="33"/>
  <c r="H103" i="33"/>
  <c r="G103" i="33"/>
  <c r="F103" i="33"/>
  <c r="E103" i="33"/>
  <c r="D103" i="33"/>
  <c r="C103" i="33"/>
  <c r="B103" i="33"/>
  <c r="L101" i="33"/>
  <c r="K118" i="33"/>
  <c r="H118" i="33"/>
  <c r="G118" i="33"/>
  <c r="F118" i="33"/>
  <c r="D118" i="33"/>
  <c r="J117" i="33"/>
  <c r="I117" i="33"/>
  <c r="H117" i="33"/>
  <c r="F117" i="33"/>
  <c r="D117" i="33"/>
  <c r="H116" i="33"/>
  <c r="J115" i="33"/>
  <c r="I115" i="33"/>
  <c r="H115" i="33"/>
  <c r="F115" i="33"/>
  <c r="D115" i="33"/>
  <c r="J112" i="33"/>
  <c r="I112" i="33"/>
  <c r="H112" i="33"/>
  <c r="G112" i="33"/>
  <c r="F112" i="33"/>
  <c r="D112" i="33"/>
  <c r="B91" i="33"/>
  <c r="B94" i="33" s="1"/>
  <c r="K109" i="33"/>
  <c r="I109" i="33"/>
  <c r="G109" i="33"/>
  <c r="F109" i="33"/>
  <c r="D109" i="33"/>
  <c r="K106" i="33"/>
  <c r="I106" i="33"/>
  <c r="H106" i="33"/>
  <c r="G106" i="33"/>
  <c r="D106" i="33"/>
  <c r="D83" i="33"/>
  <c r="E83" i="33" s="1"/>
  <c r="F83" i="33" s="1"/>
  <c r="G83" i="33" s="1"/>
  <c r="H83" i="33" s="1"/>
  <c r="I83" i="33" s="1"/>
  <c r="K78" i="33"/>
  <c r="J78" i="33"/>
  <c r="I78" i="33"/>
  <c r="H78" i="33"/>
  <c r="G78" i="33"/>
  <c r="F78" i="33"/>
  <c r="D78" i="33"/>
  <c r="C78" i="33"/>
  <c r="K77" i="33"/>
  <c r="J77" i="33"/>
  <c r="I77" i="33"/>
  <c r="H77" i="33"/>
  <c r="G77" i="33"/>
  <c r="F77" i="33"/>
  <c r="D77" i="33"/>
  <c r="C77" i="33"/>
  <c r="K76" i="33"/>
  <c r="J76" i="33"/>
  <c r="I76" i="33"/>
  <c r="H76" i="33"/>
  <c r="G76" i="33"/>
  <c r="F76" i="33"/>
  <c r="E76" i="33"/>
  <c r="D76" i="33"/>
  <c r="C76" i="33"/>
  <c r="K75" i="33"/>
  <c r="J75" i="33"/>
  <c r="I75" i="33"/>
  <c r="H75" i="33"/>
  <c r="G75" i="33"/>
  <c r="F75" i="33"/>
  <c r="E75" i="33"/>
  <c r="D75" i="33"/>
  <c r="C75" i="33"/>
  <c r="K74" i="33"/>
  <c r="J74" i="33"/>
  <c r="I74" i="33"/>
  <c r="H74" i="33"/>
  <c r="G74" i="33"/>
  <c r="F74" i="33"/>
  <c r="D74" i="33"/>
  <c r="C74" i="33"/>
  <c r="K73" i="33"/>
  <c r="J73" i="33"/>
  <c r="I73" i="33"/>
  <c r="H73" i="33"/>
  <c r="G73" i="33"/>
  <c r="F73" i="33"/>
  <c r="E73" i="33"/>
  <c r="D73" i="33"/>
  <c r="C73" i="33"/>
  <c r="K72" i="33"/>
  <c r="J72" i="33"/>
  <c r="I72" i="33"/>
  <c r="H72" i="33"/>
  <c r="G72" i="33"/>
  <c r="F72" i="33"/>
  <c r="E72" i="33"/>
  <c r="D72" i="33"/>
  <c r="C72" i="33"/>
  <c r="B72" i="33"/>
  <c r="B75" i="33" s="1"/>
  <c r="K71" i="33"/>
  <c r="J71" i="33"/>
  <c r="I71" i="33"/>
  <c r="H71" i="33"/>
  <c r="G71" i="33"/>
  <c r="F71" i="33"/>
  <c r="D71" i="33"/>
  <c r="C71" i="33"/>
  <c r="K70" i="33"/>
  <c r="J70" i="33"/>
  <c r="I70" i="33"/>
  <c r="H70" i="33"/>
  <c r="G70" i="33"/>
  <c r="F70" i="33"/>
  <c r="E70" i="33"/>
  <c r="D70" i="33"/>
  <c r="C70" i="33"/>
  <c r="K69" i="33"/>
  <c r="J69" i="33"/>
  <c r="I69" i="33"/>
  <c r="H69" i="33"/>
  <c r="G69" i="33"/>
  <c r="F69" i="33"/>
  <c r="E69" i="33"/>
  <c r="D69" i="33"/>
  <c r="C69" i="33"/>
  <c r="K68" i="33"/>
  <c r="J68" i="33"/>
  <c r="I68" i="33"/>
  <c r="H68" i="33"/>
  <c r="G68" i="33"/>
  <c r="F68" i="33"/>
  <c r="D68" i="33"/>
  <c r="C68" i="33"/>
  <c r="K67" i="33"/>
  <c r="J67" i="33"/>
  <c r="I67" i="33"/>
  <c r="H67" i="33"/>
  <c r="G67" i="33"/>
  <c r="F67" i="33"/>
  <c r="E67" i="33"/>
  <c r="D67" i="33"/>
  <c r="C67" i="33"/>
  <c r="K66" i="33"/>
  <c r="J66" i="33"/>
  <c r="I66" i="33"/>
  <c r="H66" i="33"/>
  <c r="G66" i="33"/>
  <c r="F66" i="33"/>
  <c r="E66" i="33"/>
  <c r="D66" i="33"/>
  <c r="C66" i="33"/>
  <c r="K65" i="33"/>
  <c r="J65" i="33"/>
  <c r="I65" i="33"/>
  <c r="H65" i="33"/>
  <c r="G65" i="33"/>
  <c r="F65" i="33"/>
  <c r="E65" i="33"/>
  <c r="D65" i="33"/>
  <c r="C65" i="33"/>
  <c r="B54" i="33"/>
  <c r="B57" i="33" s="1"/>
  <c r="F46" i="33"/>
  <c r="G46" i="33" s="1"/>
  <c r="H46" i="33" s="1"/>
  <c r="I46" i="33" s="1"/>
  <c r="K37" i="33"/>
  <c r="J37" i="33"/>
  <c r="I37" i="33"/>
  <c r="H37" i="33"/>
  <c r="G37" i="33"/>
  <c r="F37" i="33"/>
  <c r="E37" i="33"/>
  <c r="D37" i="33"/>
  <c r="C37" i="33"/>
  <c r="K36" i="33"/>
  <c r="J36" i="33"/>
  <c r="I36" i="33"/>
  <c r="H36" i="33"/>
  <c r="G36" i="33"/>
  <c r="F36" i="33"/>
  <c r="E36" i="33"/>
  <c r="D36" i="33"/>
  <c r="C36" i="33"/>
  <c r="K34" i="33"/>
  <c r="J34" i="33"/>
  <c r="I34" i="33"/>
  <c r="H34" i="33"/>
  <c r="G34" i="33"/>
  <c r="F34" i="33"/>
  <c r="E34" i="33"/>
  <c r="D34" i="33"/>
  <c r="C34" i="33"/>
  <c r="K33" i="33"/>
  <c r="J33" i="33"/>
  <c r="I33" i="33"/>
  <c r="H33" i="33"/>
  <c r="G33" i="33"/>
  <c r="F33" i="33"/>
  <c r="E33" i="33"/>
  <c r="D33" i="33"/>
  <c r="C33" i="33"/>
  <c r="K31" i="33"/>
  <c r="J31" i="33"/>
  <c r="I31" i="33"/>
  <c r="H31" i="33"/>
  <c r="G31" i="33"/>
  <c r="F31" i="33"/>
  <c r="E31" i="33"/>
  <c r="D31" i="33"/>
  <c r="C31" i="33"/>
  <c r="K30" i="33"/>
  <c r="J30" i="33"/>
  <c r="I30" i="33"/>
  <c r="H30" i="33"/>
  <c r="G30" i="33"/>
  <c r="F30" i="33"/>
  <c r="E30" i="33"/>
  <c r="D30" i="33"/>
  <c r="C30" i="33"/>
  <c r="K28" i="33"/>
  <c r="J28" i="33"/>
  <c r="I28" i="33"/>
  <c r="H28" i="33"/>
  <c r="G28" i="33"/>
  <c r="F28" i="33"/>
  <c r="E28" i="33"/>
  <c r="D28" i="33"/>
  <c r="C28" i="33"/>
  <c r="K27" i="33"/>
  <c r="J27" i="33"/>
  <c r="I27" i="33"/>
  <c r="H27" i="33"/>
  <c r="G27" i="33"/>
  <c r="F27" i="33"/>
  <c r="E27" i="33"/>
  <c r="D27" i="33"/>
  <c r="C27" i="33"/>
  <c r="K26" i="33"/>
  <c r="J26" i="33"/>
  <c r="I26" i="33"/>
  <c r="H26" i="33"/>
  <c r="G26" i="33"/>
  <c r="F26" i="33"/>
  <c r="E26" i="33"/>
  <c r="D26" i="33"/>
  <c r="C26" i="33"/>
  <c r="E25" i="33"/>
  <c r="I22" i="33"/>
  <c r="H22" i="33"/>
  <c r="G22" i="33"/>
  <c r="F22" i="33"/>
  <c r="E22" i="33"/>
  <c r="D22" i="33"/>
  <c r="D41" i="33" s="1"/>
  <c r="C22" i="33"/>
  <c r="I21" i="33"/>
  <c r="H21" i="33"/>
  <c r="G21" i="33"/>
  <c r="F21" i="33"/>
  <c r="E21" i="33"/>
  <c r="D21" i="33"/>
  <c r="C21" i="33"/>
  <c r="I19" i="33"/>
  <c r="H19" i="33"/>
  <c r="G19" i="33"/>
  <c r="F19" i="33"/>
  <c r="E19" i="33"/>
  <c r="E77" i="33" s="1"/>
  <c r="D19" i="33"/>
  <c r="C19" i="33"/>
  <c r="B17" i="33"/>
  <c r="I16" i="33"/>
  <c r="H16" i="33"/>
  <c r="G16" i="33"/>
  <c r="F16" i="33"/>
  <c r="E16" i="33"/>
  <c r="E74" i="33" s="1"/>
  <c r="D16" i="33"/>
  <c r="C16" i="33"/>
  <c r="B14" i="33"/>
  <c r="I13" i="33"/>
  <c r="H13" i="33"/>
  <c r="G13" i="33"/>
  <c r="F13" i="33"/>
  <c r="E13" i="33"/>
  <c r="E71" i="33" s="1"/>
  <c r="D13" i="33"/>
  <c r="C13" i="33"/>
  <c r="I10" i="33"/>
  <c r="H10" i="33"/>
  <c r="G10" i="33"/>
  <c r="F10" i="33"/>
  <c r="E10" i="33"/>
  <c r="D10" i="33"/>
  <c r="C10" i="33"/>
  <c r="I6" i="33"/>
  <c r="C106" i="33" l="1"/>
  <c r="K38" i="33"/>
  <c r="D38" i="33"/>
  <c r="C115" i="33"/>
  <c r="E109" i="33"/>
  <c r="E112" i="33"/>
  <c r="E106" i="33"/>
  <c r="D35" i="33"/>
  <c r="D32" i="33"/>
  <c r="C20" i="33"/>
  <c r="D40" i="33"/>
  <c r="D29" i="33"/>
  <c r="I38" i="33"/>
  <c r="H38" i="33"/>
  <c r="E38" i="33"/>
  <c r="C38" i="33"/>
  <c r="J35" i="33"/>
  <c r="I35" i="33"/>
  <c r="H35" i="33"/>
  <c r="E35" i="33"/>
  <c r="E41" i="33"/>
  <c r="G35" i="33"/>
  <c r="F35" i="33"/>
  <c r="K35" i="33"/>
  <c r="I32" i="33"/>
  <c r="H32" i="33"/>
  <c r="G20" i="33"/>
  <c r="E32" i="33"/>
  <c r="F32" i="33"/>
  <c r="C32" i="33"/>
  <c r="K32" i="33"/>
  <c r="F41" i="33"/>
  <c r="J41" i="33"/>
  <c r="H20" i="33"/>
  <c r="J29" i="33"/>
  <c r="I41" i="33"/>
  <c r="I40" i="33"/>
  <c r="I29" i="33"/>
  <c r="H41" i="33"/>
  <c r="H40" i="33"/>
  <c r="F20" i="33"/>
  <c r="H29" i="33"/>
  <c r="E29" i="33"/>
  <c r="G40" i="33"/>
  <c r="E20" i="33"/>
  <c r="C40" i="33"/>
  <c r="F40" i="33"/>
  <c r="F29" i="33"/>
  <c r="K40" i="33"/>
  <c r="C29" i="33"/>
  <c r="G29" i="33"/>
  <c r="C35" i="33"/>
  <c r="C41" i="33"/>
  <c r="C117" i="33"/>
  <c r="K117" i="33"/>
  <c r="E118" i="33"/>
  <c r="D20" i="33"/>
  <c r="J32" i="33"/>
  <c r="F38" i="33"/>
  <c r="J38" i="33"/>
  <c r="J40" i="33"/>
  <c r="E68" i="33"/>
  <c r="D116" i="33"/>
  <c r="I116" i="33"/>
  <c r="C112" i="33"/>
  <c r="K112" i="33"/>
  <c r="J118" i="33"/>
  <c r="K29" i="33"/>
  <c r="E40" i="33"/>
  <c r="G41" i="33"/>
  <c r="K41" i="33"/>
  <c r="G115" i="33"/>
  <c r="I20" i="33"/>
  <c r="G32" i="33"/>
  <c r="G38" i="33"/>
  <c r="J109" i="33"/>
  <c r="E117" i="33"/>
  <c r="C118" i="33"/>
  <c r="E116" i="33" l="1"/>
  <c r="D39" i="33"/>
  <c r="E39" i="33"/>
  <c r="H39" i="33"/>
  <c r="I39" i="33"/>
  <c r="G39" i="33"/>
  <c r="F116" i="33"/>
  <c r="E78" i="33"/>
  <c r="G116" i="33"/>
  <c r="K116" i="33"/>
  <c r="J116" i="33"/>
  <c r="J39" i="33"/>
  <c r="K39" i="33"/>
  <c r="F39" i="33"/>
  <c r="C39" i="33"/>
  <c r="L35" i="33" s="1"/>
  <c r="C116" i="33"/>
  <c r="L116" i="33" l="1"/>
  <c r="L111" i="33"/>
  <c r="L107" i="33"/>
  <c r="L105" i="33"/>
  <c r="L103" i="33"/>
  <c r="L106" i="33"/>
  <c r="L113" i="33"/>
  <c r="L110" i="33"/>
  <c r="L104" i="33"/>
  <c r="L114" i="33"/>
  <c r="L109" i="33"/>
  <c r="L108" i="33"/>
  <c r="L115" i="33"/>
  <c r="L118" i="33"/>
  <c r="L36" i="33"/>
  <c r="L34" i="33"/>
  <c r="L30" i="33"/>
  <c r="L28" i="33"/>
  <c r="L26" i="33"/>
  <c r="L39" i="33"/>
  <c r="L40" i="33"/>
  <c r="L32" i="33"/>
  <c r="L31" i="33"/>
  <c r="L29" i="33"/>
  <c r="L33" i="33"/>
  <c r="L38" i="33"/>
  <c r="L37" i="33"/>
  <c r="L27" i="33"/>
  <c r="L117" i="33"/>
  <c r="L41" i="33"/>
  <c r="L112" i="33"/>
  <c r="I35" i="30" l="1"/>
  <c r="D11" i="30" l="1"/>
  <c r="B11" i="30"/>
  <c r="C11" i="30"/>
  <c r="J16" i="30"/>
  <c r="H49" i="28"/>
  <c r="G49" i="28"/>
  <c r="F49" i="28"/>
  <c r="E49" i="28"/>
  <c r="J11" i="30" l="1"/>
  <c r="B36" i="28"/>
  <c r="B9" i="29" s="1"/>
  <c r="B23" i="28"/>
  <c r="C49" i="26"/>
  <c r="C48" i="26"/>
  <c r="L17" i="15" l="1"/>
  <c r="I14" i="27" l="1"/>
  <c r="L25" i="15" l="1"/>
  <c r="L24" i="15"/>
  <c r="L23" i="15"/>
  <c r="L22" i="15"/>
  <c r="L21" i="15"/>
  <c r="B46" i="1" l="1"/>
  <c r="B52" i="1"/>
  <c r="E14" i="2"/>
  <c r="D14" i="2"/>
  <c r="E7" i="2"/>
  <c r="D7" i="2"/>
  <c r="B69" i="15"/>
  <c r="B63" i="15"/>
  <c r="G13" i="1"/>
  <c r="F13" i="1"/>
  <c r="B14" i="28"/>
  <c r="C7" i="1"/>
  <c r="C69" i="15" l="1"/>
  <c r="C34" i="15"/>
  <c r="C30" i="1" s="1"/>
  <c r="G34" i="15"/>
  <c r="G30" i="1" s="1"/>
  <c r="C28" i="15"/>
  <c r="C24" i="1" s="1"/>
  <c r="E34" i="15"/>
  <c r="E30" i="1" s="1"/>
  <c r="G14" i="28"/>
  <c r="C14" i="28"/>
  <c r="D13" i="1"/>
  <c r="F34" i="15"/>
  <c r="F30" i="1" s="1"/>
  <c r="M9" i="15"/>
  <c r="B6" i="28"/>
  <c r="D14" i="28"/>
  <c r="E13" i="1"/>
  <c r="D34" i="15"/>
  <c r="D30" i="1" s="1"/>
  <c r="L9" i="15"/>
  <c r="C6" i="28"/>
  <c r="F14" i="28"/>
  <c r="D7" i="1"/>
  <c r="C13" i="1"/>
  <c r="H13" i="1"/>
  <c r="E14" i="28"/>
  <c r="D25" i="2"/>
  <c r="D31" i="2"/>
  <c r="C63" i="15"/>
  <c r="B21" i="26" l="1"/>
  <c r="C21" i="26"/>
  <c r="J10" i="30" l="1"/>
  <c r="B68" i="30"/>
  <c r="B31" i="26"/>
  <c r="D37" i="30" l="1"/>
  <c r="C37" i="30"/>
  <c r="C4" i="30"/>
  <c r="C43" i="28"/>
  <c r="B43" i="28"/>
  <c r="C30" i="28"/>
  <c r="B30" i="28"/>
  <c r="L15" i="15"/>
  <c r="L16" i="15"/>
  <c r="L14" i="15"/>
  <c r="C47" i="15"/>
  <c r="D68" i="15" l="1"/>
  <c r="N25" i="15"/>
  <c r="R25" i="15"/>
  <c r="C54" i="15"/>
  <c r="O25" i="15"/>
  <c r="B50" i="28"/>
  <c r="F57" i="28"/>
  <c r="E68" i="15"/>
  <c r="C57" i="28"/>
  <c r="G57" i="28"/>
  <c r="C16" i="15"/>
  <c r="D54" i="15"/>
  <c r="F68" i="15"/>
  <c r="D57" i="28"/>
  <c r="H57" i="28"/>
  <c r="C10" i="15"/>
  <c r="E57" i="28"/>
  <c r="C23" i="28"/>
  <c r="L18" i="15"/>
  <c r="I13" i="27" l="1"/>
  <c r="I12" i="27" l="1"/>
  <c r="I15" i="27" l="1"/>
  <c r="I11" i="27" l="1"/>
  <c r="H13" i="27" l="1"/>
  <c r="H11" i="27"/>
  <c r="H12" i="27"/>
  <c r="H14" i="27"/>
  <c r="H15" i="27"/>
  <c r="A29" i="29" l="1"/>
  <c r="L8" i="15" l="1"/>
  <c r="C2" i="30" l="1"/>
  <c r="D2" i="30" s="1"/>
  <c r="E2" i="30" s="1"/>
  <c r="F2" i="30" s="1"/>
  <c r="G2" i="30" s="1"/>
  <c r="H2" i="30" s="1"/>
  <c r="D18" i="15" l="1"/>
  <c r="H31" i="30" l="1"/>
  <c r="J15" i="30" l="1"/>
  <c r="I2" i="30" l="1"/>
  <c r="B7" i="32"/>
  <c r="D11" i="1" l="1"/>
  <c r="D6" i="1"/>
  <c r="B11" i="27" l="1"/>
  <c r="C15" i="27"/>
  <c r="B65" i="30"/>
  <c r="C59" i="15"/>
  <c r="E20" i="2" l="1"/>
  <c r="F20" i="2"/>
  <c r="G20" i="2"/>
  <c r="H20" i="2"/>
  <c r="I20" i="2"/>
  <c r="D19" i="1"/>
  <c r="E19" i="1"/>
  <c r="F19" i="1"/>
  <c r="G19" i="1"/>
  <c r="H19" i="1"/>
  <c r="C14" i="32"/>
  <c r="D14" i="32"/>
  <c r="E14" i="32"/>
  <c r="F14" i="32"/>
  <c r="G14" i="32"/>
  <c r="G15" i="29"/>
  <c r="H67" i="15" l="1"/>
  <c r="G67" i="15"/>
  <c r="F67" i="15"/>
  <c r="D67" i="15"/>
  <c r="C13" i="28"/>
  <c r="C5" i="28"/>
  <c r="C3" i="28"/>
  <c r="C12" i="28" l="1"/>
  <c r="E67" i="15"/>
  <c r="C36" i="28"/>
  <c r="C24" i="28"/>
  <c r="M8" i="15"/>
  <c r="B10" i="28"/>
  <c r="C9" i="1"/>
  <c r="C65" i="15"/>
  <c r="L4" i="15" l="1"/>
  <c r="H58" i="15"/>
  <c r="G58" i="15"/>
  <c r="F58" i="15"/>
  <c r="E58" i="15"/>
  <c r="D58" i="15"/>
  <c r="C58" i="15"/>
  <c r="C10" i="1"/>
  <c r="M4" i="15" l="1"/>
  <c r="L13" i="15"/>
  <c r="N13" i="15" s="1"/>
  <c r="B4" i="28"/>
  <c r="C24" i="15"/>
  <c r="L5" i="15"/>
  <c r="B11" i="28"/>
  <c r="L6" i="15"/>
  <c r="B13" i="28"/>
  <c r="C33" i="15"/>
  <c r="B3" i="28"/>
  <c r="C25" i="15"/>
  <c r="G11" i="27"/>
  <c r="G12" i="27"/>
  <c r="G13" i="27"/>
  <c r="G14" i="27"/>
  <c r="G15" i="27"/>
  <c r="F11" i="27"/>
  <c r="O13" i="15" l="1"/>
  <c r="P13" i="15" s="1"/>
  <c r="Q13" i="15" s="1"/>
  <c r="R13" i="15" s="1"/>
  <c r="S13" i="15" s="1"/>
  <c r="M21" i="15"/>
  <c r="N21" i="15" s="1"/>
  <c r="O21" i="15" s="1"/>
  <c r="P21" i="15" s="1"/>
  <c r="Q21" i="15" s="1"/>
  <c r="R21" i="15" s="1"/>
  <c r="M15" i="30"/>
  <c r="L40" i="30"/>
  <c r="M34" i="30"/>
  <c r="O20" i="30" l="1"/>
  <c r="O15" i="30"/>
  <c r="O41" i="30"/>
  <c r="N28" i="30"/>
  <c r="N21" i="30"/>
  <c r="N40" i="30"/>
  <c r="M20" i="30"/>
  <c r="L28" i="30"/>
  <c r="O34" i="30"/>
  <c r="M13" i="30"/>
  <c r="O33" i="30"/>
  <c r="N20" i="30"/>
  <c r="M28" i="30"/>
  <c r="L34" i="30"/>
  <c r="O40" i="30"/>
  <c r="N15" i="30"/>
  <c r="M21" i="30"/>
  <c r="O35" i="30"/>
  <c r="N41" i="30"/>
  <c r="L33" i="30"/>
  <c r="N33" i="30"/>
  <c r="L13" i="30"/>
  <c r="N35" i="30"/>
  <c r="M41" i="30"/>
  <c r="L35" i="30"/>
  <c r="N13" i="30"/>
  <c r="O13" i="30"/>
  <c r="M33" i="30"/>
  <c r="L20" i="30"/>
  <c r="O28" i="30"/>
  <c r="N34" i="30"/>
  <c r="M40" i="30"/>
  <c r="O21" i="30"/>
  <c r="M35" i="30"/>
  <c r="L32" i="30" l="1"/>
  <c r="N32" i="30"/>
  <c r="M32" i="30"/>
  <c r="O32" i="30"/>
  <c r="C52" i="30"/>
  <c r="C63" i="30" s="1"/>
  <c r="D52" i="30"/>
  <c r="D63" i="30" s="1"/>
  <c r="E52" i="30"/>
  <c r="E63" i="30" s="1"/>
  <c r="F52" i="30"/>
  <c r="F63" i="30" s="1"/>
  <c r="G52" i="30"/>
  <c r="G63" i="30" s="1"/>
  <c r="B52" i="30"/>
  <c r="B63" i="30" s="1"/>
  <c r="K2" i="30"/>
  <c r="L2" i="30"/>
  <c r="M2" i="30"/>
  <c r="N2" i="30"/>
  <c r="O2" i="30"/>
  <c r="J2" i="30"/>
  <c r="J27" i="30" l="1"/>
  <c r="K33" i="30"/>
  <c r="J33" i="30"/>
  <c r="J20" i="30"/>
  <c r="K20" i="30"/>
  <c r="J46" i="30"/>
  <c r="J35" i="30"/>
  <c r="K35" i="30"/>
  <c r="J14" i="30"/>
  <c r="K40" i="30"/>
  <c r="J40" i="30"/>
  <c r="J29" i="30"/>
  <c r="J19" i="30"/>
  <c r="J45" i="30"/>
  <c r="J34" i="30"/>
  <c r="K34" i="30"/>
  <c r="J21" i="30"/>
  <c r="J47" i="30"/>
  <c r="J39" i="30"/>
  <c r="K28" i="30"/>
  <c r="J28" i="30"/>
  <c r="J41" i="30"/>
  <c r="E31" i="30"/>
  <c r="C79" i="30" l="1"/>
  <c r="J12" i="30"/>
  <c r="J6" i="30"/>
  <c r="B67" i="30"/>
  <c r="J9" i="30"/>
  <c r="J26" i="30"/>
  <c r="D25" i="30"/>
  <c r="D43" i="30"/>
  <c r="J18" i="30"/>
  <c r="J38" i="30"/>
  <c r="J7" i="30"/>
  <c r="J13" i="30"/>
  <c r="K13" i="30"/>
  <c r="K32" i="30"/>
  <c r="J32" i="30"/>
  <c r="D31" i="30"/>
  <c r="B4" i="30"/>
  <c r="B77" i="30" l="1"/>
  <c r="B76" i="30"/>
  <c r="B79" i="30"/>
  <c r="B80" i="30"/>
  <c r="D23" i="30"/>
  <c r="K31" i="30"/>
  <c r="C6" i="1"/>
  <c r="C11" i="1"/>
  <c r="B75" i="30" l="1"/>
  <c r="D79" i="30"/>
  <c r="C32" i="15"/>
  <c r="B12" i="28"/>
  <c r="B15" i="28" s="1"/>
  <c r="L7" i="15"/>
  <c r="C27" i="15"/>
  <c r="B5" i="28"/>
  <c r="C67" i="15"/>
  <c r="C68" i="15"/>
  <c r="C66" i="15"/>
  <c r="C17" i="15" l="1"/>
  <c r="L10" i="15"/>
  <c r="C60" i="15" l="1"/>
  <c r="C62" i="15"/>
  <c r="D4" i="15"/>
  <c r="C7" i="32" l="1"/>
  <c r="B20" i="32" s="1"/>
  <c r="D7" i="32"/>
  <c r="E7" i="32"/>
  <c r="F7" i="32"/>
  <c r="G7" i="32"/>
  <c r="A24" i="32"/>
  <c r="A23" i="32"/>
  <c r="A34" i="32" s="1"/>
  <c r="A22" i="32"/>
  <c r="A33" i="32" s="1"/>
  <c r="B14" i="32"/>
  <c r="G1" i="32"/>
  <c r="F27" i="32" s="1"/>
  <c r="F1" i="32"/>
  <c r="E27" i="32" s="1"/>
  <c r="E1" i="32"/>
  <c r="D27" i="32" s="1"/>
  <c r="D1" i="32"/>
  <c r="C27" i="32" s="1"/>
  <c r="C1" i="32"/>
  <c r="B27" i="32" s="1"/>
  <c r="B1" i="32"/>
  <c r="D20" i="32" l="1"/>
  <c r="C20" i="32"/>
  <c r="E20" i="32"/>
  <c r="F20" i="32"/>
  <c r="A23" i="29" l="1"/>
  <c r="A36" i="29" s="1"/>
  <c r="A24" i="29" l="1"/>
  <c r="A37" i="29" s="1"/>
  <c r="C10" i="32"/>
  <c r="B10" i="32"/>
  <c r="C9" i="32"/>
  <c r="B9" i="32"/>
  <c r="C6" i="32"/>
  <c r="B6" i="32"/>
  <c r="G8" i="32"/>
  <c r="F8" i="32"/>
  <c r="E8" i="32"/>
  <c r="D8" i="32"/>
  <c r="C8" i="32"/>
  <c r="B8" i="32"/>
  <c r="E21" i="32" l="1"/>
  <c r="D21" i="32"/>
  <c r="C21" i="32"/>
  <c r="B22" i="32"/>
  <c r="B23" i="32"/>
  <c r="B19" i="32"/>
  <c r="B21" i="32"/>
  <c r="F21" i="32"/>
  <c r="D24" i="28"/>
  <c r="B10" i="29"/>
  <c r="E24" i="28" l="1"/>
  <c r="F5" i="32"/>
  <c r="E5" i="32"/>
  <c r="D5" i="32"/>
  <c r="C5" i="32"/>
  <c r="B5" i="32"/>
  <c r="C3" i="32"/>
  <c r="B3" i="32"/>
  <c r="B18" i="32" l="1"/>
  <c r="D18" i="32"/>
  <c r="C18" i="32"/>
  <c r="B16" i="32"/>
  <c r="E18" i="32"/>
  <c r="A13" i="27" l="1"/>
  <c r="A14" i="27"/>
  <c r="A15" i="27"/>
  <c r="A12" i="27"/>
  <c r="B8" i="29" l="1"/>
  <c r="N4" i="15"/>
  <c r="O4" i="15" s="1"/>
  <c r="P4" i="15" s="1"/>
  <c r="Q4" i="15" s="1"/>
  <c r="R4" i="15" s="1"/>
  <c r="C43" i="30" l="1"/>
  <c r="B43" i="30"/>
  <c r="J37" i="30"/>
  <c r="B37" i="30"/>
  <c r="F31" i="30"/>
  <c r="C31" i="30"/>
  <c r="B31" i="30"/>
  <c r="C25" i="30"/>
  <c r="B25" i="30"/>
  <c r="C17" i="30"/>
  <c r="B17" i="30"/>
  <c r="J31" i="30" l="1"/>
  <c r="J17" i="30"/>
  <c r="C23" i="30"/>
  <c r="L31" i="30"/>
  <c r="J43" i="30"/>
  <c r="J25" i="30"/>
  <c r="B23" i="30"/>
  <c r="A25" i="29"/>
  <c r="C49" i="30" l="1"/>
  <c r="J23" i="30"/>
  <c r="B49" i="30" l="1"/>
  <c r="B1" i="29"/>
  <c r="B4" i="32"/>
  <c r="C4" i="32"/>
  <c r="B2" i="32"/>
  <c r="C2" i="32"/>
  <c r="C2" i="28"/>
  <c r="B2" i="28"/>
  <c r="B7" i="28" s="1"/>
  <c r="C50" i="30" s="1"/>
  <c r="B29" i="32" l="1"/>
  <c r="B15" i="32"/>
  <c r="C11" i="32"/>
  <c r="B17" i="32"/>
  <c r="B28" i="32" s="1"/>
  <c r="C31" i="32"/>
  <c r="C32" i="32"/>
  <c r="C29" i="32"/>
  <c r="B11" i="32"/>
  <c r="B12" i="32" s="1"/>
  <c r="B31" i="32"/>
  <c r="B32" i="32"/>
  <c r="B34" i="32"/>
  <c r="B30" i="32"/>
  <c r="B33" i="32"/>
  <c r="B2" i="29" l="1"/>
  <c r="C12" i="32"/>
  <c r="B24" i="32"/>
  <c r="C1" i="29"/>
  <c r="B28" i="29" s="1"/>
  <c r="B16" i="28"/>
  <c r="B8" i="28"/>
  <c r="K27" i="30"/>
  <c r="L27" i="30"/>
  <c r="M27" i="30"/>
  <c r="N27" i="30"/>
  <c r="O27" i="30"/>
  <c r="G31" i="30"/>
  <c r="I31" i="30"/>
  <c r="P31" i="30" s="1"/>
  <c r="D4" i="1"/>
  <c r="D3" i="1"/>
  <c r="G9" i="26"/>
  <c r="G26" i="26" s="1"/>
  <c r="E9" i="26"/>
  <c r="E26" i="26" s="1"/>
  <c r="D9" i="26"/>
  <c r="D26" i="26" s="1"/>
  <c r="C9" i="26"/>
  <c r="C26" i="26" s="1"/>
  <c r="B4" i="29"/>
  <c r="C8" i="29"/>
  <c r="B6" i="29"/>
  <c r="C6" i="29"/>
  <c r="C9" i="29"/>
  <c r="B7" i="29"/>
  <c r="C7" i="29"/>
  <c r="B13" i="27"/>
  <c r="C13" i="27"/>
  <c r="D13" i="27"/>
  <c r="E13" i="27"/>
  <c r="F13" i="27"/>
  <c r="B14" i="27"/>
  <c r="C14" i="27"/>
  <c r="D14" i="27"/>
  <c r="E14" i="27"/>
  <c r="F14" i="27"/>
  <c r="B15" i="27"/>
  <c r="D15" i="27"/>
  <c r="E15" i="27"/>
  <c r="F15" i="27"/>
  <c r="C11" i="27"/>
  <c r="D11" i="27"/>
  <c r="E11" i="27"/>
  <c r="D11" i="2"/>
  <c r="E11" i="2"/>
  <c r="D12" i="2"/>
  <c r="E12" i="2"/>
  <c r="F12" i="2"/>
  <c r="G12" i="2"/>
  <c r="H12" i="2"/>
  <c r="I12" i="2"/>
  <c r="J12" i="2"/>
  <c r="D13" i="2"/>
  <c r="E13" i="2"/>
  <c r="C58" i="2" s="1"/>
  <c r="F13" i="2"/>
  <c r="G13" i="2"/>
  <c r="H13" i="2"/>
  <c r="E10" i="2"/>
  <c r="D10" i="2"/>
  <c r="C12" i="1"/>
  <c r="C14" i="1" s="1"/>
  <c r="D12" i="1"/>
  <c r="C4" i="1"/>
  <c r="C5" i="1"/>
  <c r="C3" i="1"/>
  <c r="D4" i="2"/>
  <c r="E4" i="2"/>
  <c r="D5" i="2"/>
  <c r="D6" i="2"/>
  <c r="E6" i="2"/>
  <c r="E3" i="2"/>
  <c r="D3" i="2"/>
  <c r="B12" i="27"/>
  <c r="C12" i="27"/>
  <c r="D12" i="27"/>
  <c r="E12" i="27"/>
  <c r="F12" i="27"/>
  <c r="A44" i="2"/>
  <c r="A42" i="2"/>
  <c r="A40" i="2"/>
  <c r="F9" i="26"/>
  <c r="F26" i="26" s="1"/>
  <c r="C19" i="1"/>
  <c r="B8" i="26" s="1"/>
  <c r="B25" i="26" s="1"/>
  <c r="D20" i="2"/>
  <c r="D2" i="2"/>
  <c r="C20" i="1"/>
  <c r="C21" i="1"/>
  <c r="C23" i="1"/>
  <c r="C28" i="1"/>
  <c r="C29" i="1"/>
  <c r="C2" i="1"/>
  <c r="C41" i="15"/>
  <c r="D41" i="15"/>
  <c r="J29" i="2" l="1"/>
  <c r="B1" i="26"/>
  <c r="B15" i="26" s="1"/>
  <c r="B45" i="26" s="1"/>
  <c r="D15" i="2"/>
  <c r="E15" i="2"/>
  <c r="D8" i="2"/>
  <c r="C8" i="1"/>
  <c r="E79" i="30"/>
  <c r="C20" i="26"/>
  <c r="O31" i="30"/>
  <c r="N31" i="30"/>
  <c r="M31" i="30"/>
  <c r="B22" i="29"/>
  <c r="B35" i="29" s="1"/>
  <c r="B21" i="29"/>
  <c r="B34" i="29" s="1"/>
  <c r="C70" i="15"/>
  <c r="B3" i="29"/>
  <c r="C5" i="29"/>
  <c r="B5" i="29"/>
  <c r="B23" i="29"/>
  <c r="B36" i="29" s="1"/>
  <c r="B17" i="26"/>
  <c r="F29" i="2"/>
  <c r="D21" i="2"/>
  <c r="D28" i="2"/>
  <c r="E2" i="2"/>
  <c r="D2" i="1"/>
  <c r="C41" i="1" s="1"/>
  <c r="D30" i="2"/>
  <c r="D22" i="2"/>
  <c r="G29" i="2"/>
  <c r="D29" i="2"/>
  <c r="D24" i="2"/>
  <c r="B19" i="26"/>
  <c r="G30" i="2"/>
  <c r="I29" i="2"/>
  <c r="E29" i="2"/>
  <c r="E30" i="2"/>
  <c r="F30" i="2"/>
  <c r="D27" i="2"/>
  <c r="H29" i="2"/>
  <c r="B20" i="26"/>
  <c r="B18" i="26"/>
  <c r="C55" i="15"/>
  <c r="C48" i="15"/>
  <c r="B11" i="29"/>
  <c r="B20" i="29"/>
  <c r="B33" i="29" s="1"/>
  <c r="B19" i="29" l="1"/>
  <c r="C57" i="2"/>
  <c r="K14" i="2"/>
  <c r="B22" i="26"/>
  <c r="B41" i="26" s="1"/>
  <c r="C54" i="2"/>
  <c r="K15" i="2"/>
  <c r="C3" i="30"/>
  <c r="B52" i="26"/>
  <c r="K10" i="2"/>
  <c r="B32" i="29"/>
  <c r="C1" i="26"/>
  <c r="C15" i="26" s="1"/>
  <c r="C47" i="2"/>
  <c r="C56" i="2"/>
  <c r="C55" i="2"/>
  <c r="D36" i="2"/>
  <c r="D42" i="2" s="1"/>
  <c r="D35" i="2"/>
  <c r="D38" i="2" s="1"/>
  <c r="B3" i="26"/>
  <c r="D18" i="2"/>
  <c r="D16" i="2"/>
  <c r="E18" i="2"/>
  <c r="D17" i="2"/>
  <c r="D40" i="2"/>
  <c r="C15" i="1"/>
  <c r="C16" i="1" s="1"/>
  <c r="C36" i="1"/>
  <c r="B4" i="26"/>
  <c r="B30" i="26"/>
  <c r="D56" i="2"/>
  <c r="D32" i="2"/>
  <c r="C59" i="2" s="1"/>
  <c r="D44" i="2"/>
  <c r="K13" i="2"/>
  <c r="D57" i="2"/>
  <c r="C35" i="1"/>
  <c r="C38" i="1" s="1"/>
  <c r="E36" i="2"/>
  <c r="E42" i="2" s="1"/>
  <c r="K12" i="2"/>
  <c r="K11" i="2"/>
  <c r="D9" i="2"/>
  <c r="D1" i="29"/>
  <c r="C28" i="29" s="1"/>
  <c r="E2" i="1"/>
  <c r="D41" i="1" s="1"/>
  <c r="E41" i="15"/>
  <c r="F2" i="2"/>
  <c r="D47" i="2" s="1"/>
  <c r="B5" i="26" l="1"/>
  <c r="B6" i="26" s="1"/>
  <c r="B35" i="26"/>
  <c r="C45" i="26"/>
  <c r="D43" i="2"/>
  <c r="D39" i="2"/>
  <c r="B40" i="26"/>
  <c r="D2" i="26"/>
  <c r="D16" i="26" s="1"/>
  <c r="C36" i="26" s="1"/>
  <c r="D45" i="26" s="1"/>
  <c r="E1" i="29"/>
  <c r="D28" i="29" s="1"/>
  <c r="F2" i="1"/>
  <c r="E41" i="1" s="1"/>
  <c r="F41" i="15"/>
  <c r="G2" i="2"/>
  <c r="E47" i="2" s="1"/>
  <c r="B23" i="26" l="1"/>
  <c r="E2" i="26"/>
  <c r="E16" i="26" s="1"/>
  <c r="D36" i="26" s="1"/>
  <c r="E45" i="26" s="1"/>
  <c r="F1" i="29"/>
  <c r="E28" i="29" s="1"/>
  <c r="H2" i="2"/>
  <c r="F47" i="2" s="1"/>
  <c r="G2" i="1"/>
  <c r="F41" i="1" s="1"/>
  <c r="G41" i="15"/>
  <c r="G1" i="29" l="1"/>
  <c r="F28" i="29" s="1"/>
  <c r="H2" i="1"/>
  <c r="G41" i="1" s="1"/>
  <c r="H1" i="32"/>
  <c r="G27" i="32" s="1"/>
  <c r="I2" i="2"/>
  <c r="G47" i="2" s="1"/>
  <c r="H41" i="15"/>
  <c r="F2" i="26"/>
  <c r="F16" i="26" s="1"/>
  <c r="E36" i="26" s="1"/>
  <c r="F45" i="26" s="1"/>
  <c r="H1" i="29" l="1"/>
  <c r="G28" i="29" s="1"/>
  <c r="J2" i="2"/>
  <c r="H47" i="2" s="1"/>
  <c r="I2" i="1"/>
  <c r="H41" i="1" s="1"/>
  <c r="I41" i="15"/>
  <c r="G2" i="26"/>
  <c r="G16" i="26" s="1"/>
  <c r="F36" i="26" s="1"/>
  <c r="G45" i="26" s="1"/>
  <c r="H2" i="26" l="1"/>
  <c r="H16" i="26" s="1"/>
  <c r="G36" i="26" s="1"/>
  <c r="H45" i="26" s="1"/>
  <c r="E5" i="28" l="1"/>
  <c r="E2" i="32" s="1"/>
  <c r="F6" i="1"/>
  <c r="F27" i="15" l="1"/>
  <c r="F23" i="1" s="1"/>
  <c r="F5" i="28"/>
  <c r="F2" i="32" s="1"/>
  <c r="E15" i="32" s="1"/>
  <c r="G6" i="1"/>
  <c r="G27" i="15" l="1"/>
  <c r="G23" i="1" s="1"/>
  <c r="G5" i="28"/>
  <c r="G2" i="32" s="1"/>
  <c r="F15" i="32" s="1"/>
  <c r="H6" i="1"/>
  <c r="H27" i="15" l="1"/>
  <c r="H23" i="1" s="1"/>
  <c r="I6" i="1"/>
  <c r="H5" i="28"/>
  <c r="H2" i="32" s="1"/>
  <c r="J6" i="1" l="1"/>
  <c r="G15" i="32"/>
  <c r="D33" i="15" l="1"/>
  <c r="D29" i="1" s="1"/>
  <c r="E12" i="1"/>
  <c r="D13" i="28"/>
  <c r="D4" i="32" l="1"/>
  <c r="D32" i="32" l="1"/>
  <c r="D31" i="32"/>
  <c r="D29" i="32"/>
  <c r="C17" i="32"/>
  <c r="C28" i="32" s="1"/>
  <c r="E33" i="15" l="1"/>
  <c r="E29" i="1" s="1"/>
  <c r="F18" i="15"/>
  <c r="O8" i="15"/>
  <c r="E13" i="28"/>
  <c r="F12" i="1"/>
  <c r="E4" i="32" l="1"/>
  <c r="E20" i="26"/>
  <c r="D17" i="32" l="1"/>
  <c r="D28" i="32" s="1"/>
  <c r="E11" i="32"/>
  <c r="E32" i="32"/>
  <c r="E31" i="32"/>
  <c r="E29" i="32"/>
  <c r="E12" i="32" l="1"/>
  <c r="F33" i="15" l="1"/>
  <c r="F29" i="1" s="1"/>
  <c r="P8" i="15"/>
  <c r="G18" i="15"/>
  <c r="G12" i="1"/>
  <c r="F13" i="28"/>
  <c r="F4" i="32" l="1"/>
  <c r="F20" i="26"/>
  <c r="E30" i="26" l="1"/>
  <c r="E17" i="32"/>
  <c r="E28" i="32" s="1"/>
  <c r="F11" i="32"/>
  <c r="F31" i="32"/>
  <c r="F32" i="32"/>
  <c r="F12" i="32" l="1"/>
  <c r="E24" i="32"/>
  <c r="G33" i="15"/>
  <c r="G29" i="1" s="1"/>
  <c r="H18" i="15"/>
  <c r="Q8" i="15"/>
  <c r="G13" i="28"/>
  <c r="H12" i="1"/>
  <c r="G20" i="26" s="1"/>
  <c r="F30" i="26" l="1"/>
  <c r="G4" i="32"/>
  <c r="F17" i="32" l="1"/>
  <c r="F28" i="32" s="1"/>
  <c r="G11" i="32"/>
  <c r="G12" i="32" l="1"/>
  <c r="F24" i="32"/>
  <c r="H33" i="15"/>
  <c r="H29" i="1" s="1"/>
  <c r="R8" i="15"/>
  <c r="I18" i="15"/>
  <c r="H13" i="28"/>
  <c r="I12" i="1"/>
  <c r="H20" i="26" s="1"/>
  <c r="G30" i="26" l="1"/>
  <c r="H4" i="32"/>
  <c r="H17" i="32" s="1"/>
  <c r="G17" i="32" l="1"/>
  <c r="G28" i="32" s="1"/>
  <c r="H11" i="32"/>
  <c r="H12" i="32" l="1"/>
  <c r="G24" i="32"/>
  <c r="D27" i="15" l="1"/>
  <c r="D23" i="1" s="1"/>
  <c r="E18" i="15"/>
  <c r="E6" i="1"/>
  <c r="D20" i="26" s="1"/>
  <c r="D5" i="28"/>
  <c r="D2" i="32" s="1"/>
  <c r="H15" i="32" s="1"/>
  <c r="N8" i="15"/>
  <c r="E27" i="15"/>
  <c r="E23" i="1" s="1"/>
  <c r="D30" i="26" l="1"/>
  <c r="C30" i="26"/>
  <c r="C15" i="32"/>
  <c r="D15" i="32"/>
  <c r="D11" i="32"/>
  <c r="H24" i="32" s="1"/>
  <c r="D12" i="32" l="1"/>
  <c r="C24" i="32"/>
  <c r="D24" i="32"/>
  <c r="H14" i="28" l="1"/>
  <c r="I13" i="1"/>
  <c r="H34" i="15"/>
  <c r="H30" i="1" s="1"/>
  <c r="D3" i="32" l="1"/>
  <c r="D62" i="15"/>
  <c r="F6" i="2"/>
  <c r="E24" i="2" l="1"/>
  <c r="C16" i="32"/>
  <c r="E3" i="32"/>
  <c r="D16" i="32" s="1"/>
  <c r="G6" i="2"/>
  <c r="F24" i="2" s="1"/>
  <c r="E62" i="15"/>
  <c r="F62" i="15" l="1"/>
  <c r="F3" i="32"/>
  <c r="E16" i="32" s="1"/>
  <c r="H6" i="2"/>
  <c r="G24" i="2" s="1"/>
  <c r="G3" i="32" l="1"/>
  <c r="F16" i="32" s="1"/>
  <c r="G62" i="15"/>
  <c r="I6" i="2"/>
  <c r="H24" i="2" s="1"/>
  <c r="H3" i="32" l="1"/>
  <c r="H16" i="32" s="1"/>
  <c r="H62" i="15"/>
  <c r="J6" i="2"/>
  <c r="J24" i="2" s="1"/>
  <c r="I24" i="2" l="1"/>
  <c r="G16" i="32"/>
  <c r="Q25" i="15" l="1"/>
  <c r="P25" i="15"/>
  <c r="M9" i="30" l="1"/>
  <c r="N9" i="30" l="1"/>
  <c r="O9" i="30" l="1"/>
  <c r="K15" i="30" l="1"/>
  <c r="L15" i="30"/>
  <c r="K21" i="30" l="1"/>
  <c r="L21" i="30"/>
  <c r="K41" i="30" l="1"/>
  <c r="L41" i="30"/>
  <c r="F43" i="28" l="1"/>
  <c r="F7" i="29" s="1"/>
  <c r="H43" i="28"/>
  <c r="E43" i="28" l="1"/>
  <c r="E7" i="29" s="1"/>
  <c r="E21" i="29" s="1"/>
  <c r="G43" i="28"/>
  <c r="G7" i="29" s="1"/>
  <c r="H7" i="29"/>
  <c r="H7" i="32"/>
  <c r="H20" i="32" s="1"/>
  <c r="D43" i="28"/>
  <c r="D7" i="29" s="1"/>
  <c r="H21" i="29" l="1"/>
  <c r="C21" i="29"/>
  <c r="D21" i="29"/>
  <c r="G20" i="32"/>
  <c r="G31" i="32" s="1"/>
  <c r="F21" i="29"/>
  <c r="G21" i="29"/>
  <c r="K38" i="30" l="1"/>
  <c r="L38" i="30"/>
  <c r="M12" i="30" l="1"/>
  <c r="D65" i="15"/>
  <c r="F10" i="2"/>
  <c r="E65" i="15"/>
  <c r="G10" i="2"/>
  <c r="L12" i="30"/>
  <c r="K12" i="30"/>
  <c r="O38" i="30"/>
  <c r="O12" i="30" l="1"/>
  <c r="F65" i="15"/>
  <c r="H10" i="2"/>
  <c r="M38" i="30"/>
  <c r="F27" i="2"/>
  <c r="N38" i="30"/>
  <c r="N12" i="30"/>
  <c r="E27" i="2"/>
  <c r="D54" i="2" s="1"/>
  <c r="H65" i="15" l="1"/>
  <c r="J10" i="2"/>
  <c r="J27" i="2" s="1"/>
  <c r="O6" i="30"/>
  <c r="H59" i="15"/>
  <c r="J3" i="2"/>
  <c r="G27" i="2"/>
  <c r="I3" i="2" l="1"/>
  <c r="G65" i="15"/>
  <c r="I10" i="2"/>
  <c r="I27" i="2" s="1"/>
  <c r="I21" i="2" l="1"/>
  <c r="H27" i="2"/>
  <c r="K18" i="30" l="1"/>
  <c r="L18" i="30" l="1"/>
  <c r="M18" i="30" l="1"/>
  <c r="O18" i="30"/>
  <c r="N18" i="30"/>
  <c r="J11" i="2" l="1"/>
  <c r="G66" i="15" l="1"/>
  <c r="I11" i="2"/>
  <c r="H66" i="15"/>
  <c r="E66" i="15"/>
  <c r="G11" i="2"/>
  <c r="F66" i="15"/>
  <c r="H11" i="2"/>
  <c r="G28" i="2" l="1"/>
  <c r="D66" i="15"/>
  <c r="F11" i="2"/>
  <c r="H28" i="2"/>
  <c r="I28" i="2"/>
  <c r="F28" i="2" l="1"/>
  <c r="J28" i="2"/>
  <c r="E28" i="2"/>
  <c r="D55" i="2" s="1"/>
  <c r="G9" i="32" l="1"/>
  <c r="G36" i="28"/>
  <c r="G9" i="29" s="1"/>
  <c r="D9" i="32"/>
  <c r="D36" i="28"/>
  <c r="D9" i="29" s="1"/>
  <c r="E9" i="32"/>
  <c r="E36" i="28"/>
  <c r="E9" i="29" s="1"/>
  <c r="F9" i="32"/>
  <c r="F36" i="28"/>
  <c r="F9" i="29" s="1"/>
  <c r="E22" i="32" l="1"/>
  <c r="E33" i="32" s="1"/>
  <c r="D23" i="29"/>
  <c r="C22" i="32"/>
  <c r="C33" i="32" s="1"/>
  <c r="C23" i="29"/>
  <c r="D22" i="32"/>
  <c r="D33" i="32" s="1"/>
  <c r="F23" i="29"/>
  <c r="E23" i="29"/>
  <c r="F22" i="32"/>
  <c r="F33" i="32" s="1"/>
  <c r="H9" i="32" l="1"/>
  <c r="H22" i="32" s="1"/>
  <c r="H36" i="28"/>
  <c r="H9" i="29" s="1"/>
  <c r="H23" i="29" s="1"/>
  <c r="D10" i="32"/>
  <c r="D10" i="29"/>
  <c r="C23" i="32" l="1"/>
  <c r="C34" i="32" s="1"/>
  <c r="G23" i="29"/>
  <c r="G22" i="32"/>
  <c r="G33" i="32" s="1"/>
  <c r="H5" i="32" l="1"/>
  <c r="H18" i="32" s="1"/>
  <c r="J13" i="2"/>
  <c r="J30" i="2" s="1"/>
  <c r="G68" i="15" l="1"/>
  <c r="G5" i="32"/>
  <c r="G18" i="32" s="1"/>
  <c r="I13" i="2"/>
  <c r="H68" i="15"/>
  <c r="H30" i="2" l="1"/>
  <c r="F18" i="32"/>
  <c r="F29" i="32" s="1"/>
  <c r="G29" i="32"/>
  <c r="I30" i="2"/>
  <c r="D23" i="28" l="1"/>
  <c r="D8" i="29" s="1"/>
  <c r="F23" i="28"/>
  <c r="F8" i="29" s="1"/>
  <c r="E23" i="28"/>
  <c r="E8" i="29" s="1"/>
  <c r="E22" i="29" l="1"/>
  <c r="D22" i="29"/>
  <c r="C22" i="29"/>
  <c r="G23" i="28"/>
  <c r="G8" i="29" s="1"/>
  <c r="F22" i="29" l="1"/>
  <c r="H23" i="28"/>
  <c r="H8" i="29" l="1"/>
  <c r="H22" i="29" s="1"/>
  <c r="H8" i="32"/>
  <c r="H21" i="32" s="1"/>
  <c r="G21" i="32" l="1"/>
  <c r="G32" i="32" s="1"/>
  <c r="G22" i="29"/>
  <c r="K39" i="30" l="1"/>
  <c r="E37" i="30"/>
  <c r="K19" i="30"/>
  <c r="L19" i="30" l="1"/>
  <c r="C76" i="30"/>
  <c r="K37" i="30"/>
  <c r="K17" i="30"/>
  <c r="L39" i="30"/>
  <c r="F37" i="30"/>
  <c r="L37" i="30" l="1"/>
  <c r="D76" i="30"/>
  <c r="L17" i="30"/>
  <c r="M39" i="30" l="1"/>
  <c r="G37" i="30"/>
  <c r="M37" i="30" l="1"/>
  <c r="O39" i="30"/>
  <c r="I37" i="30"/>
  <c r="P37" i="30" s="1"/>
  <c r="N39" i="30"/>
  <c r="H37" i="30"/>
  <c r="M19" i="30"/>
  <c r="M17" i="30" l="1"/>
  <c r="N37" i="30"/>
  <c r="E76" i="30"/>
  <c r="O37" i="30"/>
  <c r="N19" i="30"/>
  <c r="O19" i="30"/>
  <c r="N17" i="30" l="1"/>
  <c r="O17" i="30"/>
  <c r="H30" i="28" l="1"/>
  <c r="H6" i="32" l="1"/>
  <c r="H6" i="29"/>
  <c r="F30" i="28" l="1"/>
  <c r="F6" i="29" s="1"/>
  <c r="F6" i="32"/>
  <c r="E30" i="28"/>
  <c r="E6" i="29" s="1"/>
  <c r="E6" i="32"/>
  <c r="D30" i="28"/>
  <c r="D6" i="29" s="1"/>
  <c r="H20" i="29" s="1"/>
  <c r="D6" i="32"/>
  <c r="H19" i="32" s="1"/>
  <c r="G30" i="28"/>
  <c r="G6" i="29" s="1"/>
  <c r="G6" i="32"/>
  <c r="G19" i="32" s="1"/>
  <c r="F19" i="32" l="1"/>
  <c r="G30" i="32"/>
  <c r="D19" i="32"/>
  <c r="D30" i="32" s="1"/>
  <c r="F20" i="29"/>
  <c r="D20" i="29"/>
  <c r="G20" i="29"/>
  <c r="C19" i="32"/>
  <c r="C30" i="32" s="1"/>
  <c r="E19" i="32"/>
  <c r="E30" i="32" s="1"/>
  <c r="F30" i="32"/>
  <c r="C20" i="29"/>
  <c r="E20" i="29"/>
  <c r="F10" i="32" l="1"/>
  <c r="F50" i="28"/>
  <c r="F10" i="29" s="1"/>
  <c r="E10" i="32" l="1"/>
  <c r="E50" i="28"/>
  <c r="E10" i="29" s="1"/>
  <c r="D24" i="29" l="1"/>
  <c r="E24" i="29"/>
  <c r="D23" i="32"/>
  <c r="D34" i="32" s="1"/>
  <c r="E23" i="32"/>
  <c r="E34" i="32" s="1"/>
  <c r="G10" i="32" l="1"/>
  <c r="G50" i="28"/>
  <c r="G10" i="29" s="1"/>
  <c r="H10" i="32" l="1"/>
  <c r="H23" i="32" s="1"/>
  <c r="H50" i="28"/>
  <c r="H10" i="29" s="1"/>
  <c r="H24" i="29" s="1"/>
  <c r="F24" i="29"/>
  <c r="F23" i="32"/>
  <c r="F34" i="32" s="1"/>
  <c r="G24" i="29" l="1"/>
  <c r="G23" i="32"/>
  <c r="G34" i="32" s="1"/>
  <c r="O24" i="15" l="1"/>
  <c r="P24" i="15"/>
  <c r="Q24" i="15"/>
  <c r="R24" i="15"/>
  <c r="K26" i="30" l="1"/>
  <c r="K44" i="30"/>
  <c r="N44" i="30" l="1"/>
  <c r="L44" i="30"/>
  <c r="O44" i="30"/>
  <c r="M44" i="30" l="1"/>
  <c r="L26" i="30"/>
  <c r="D9" i="1"/>
  <c r="C10" i="28"/>
  <c r="C30" i="15"/>
  <c r="C26" i="1" s="1"/>
  <c r="M5" i="15"/>
  <c r="G64" i="30" l="1"/>
  <c r="C17" i="26"/>
  <c r="M26" i="30"/>
  <c r="P6" i="30"/>
  <c r="K6" i="30" l="1"/>
  <c r="C64" i="30"/>
  <c r="B27" i="26"/>
  <c r="B37" i="26" s="1"/>
  <c r="F3" i="2"/>
  <c r="J21" i="2" s="1"/>
  <c r="D59" i="15"/>
  <c r="M6" i="30"/>
  <c r="N26" i="30"/>
  <c r="F64" i="30"/>
  <c r="N6" i="30"/>
  <c r="E64" i="30"/>
  <c r="H3" i="2"/>
  <c r="G59" i="15"/>
  <c r="O26" i="30"/>
  <c r="H21" i="2" l="1"/>
  <c r="F59" i="15"/>
  <c r="E59" i="15"/>
  <c r="G3" i="2"/>
  <c r="G21" i="2" s="1"/>
  <c r="E21" i="2"/>
  <c r="L6" i="30"/>
  <c r="D64" i="30"/>
  <c r="F21" i="2" l="1"/>
  <c r="D2" i="28" l="1"/>
  <c r="D24" i="15"/>
  <c r="D20" i="1" s="1"/>
  <c r="E3" i="1"/>
  <c r="F3" i="1" l="1"/>
  <c r="E24" i="15"/>
  <c r="E20" i="1" s="1"/>
  <c r="E2" i="28"/>
  <c r="H2" i="28"/>
  <c r="I3" i="1"/>
  <c r="F24" i="15" l="1"/>
  <c r="F20" i="1" s="1"/>
  <c r="G3" i="1"/>
  <c r="F2" i="28"/>
  <c r="D48" i="26"/>
  <c r="D52" i="26" s="1"/>
  <c r="N22" i="15"/>
  <c r="H48" i="26" l="1"/>
  <c r="H52" i="26" s="1"/>
  <c r="G24" i="15"/>
  <c r="G20" i="1" s="1"/>
  <c r="H3" i="1"/>
  <c r="G2" i="28"/>
  <c r="H24" i="15"/>
  <c r="H20" i="1" s="1"/>
  <c r="H10" i="28"/>
  <c r="I9" i="1"/>
  <c r="R5" i="15"/>
  <c r="E48" i="26"/>
  <c r="E52" i="26" s="1"/>
  <c r="O22" i="15"/>
  <c r="H17" i="26" l="1"/>
  <c r="P22" i="15"/>
  <c r="F48" i="26"/>
  <c r="F52" i="26" s="1"/>
  <c r="N5" i="15"/>
  <c r="D30" i="15"/>
  <c r="D26" i="1" s="1"/>
  <c r="D10" i="28"/>
  <c r="E9" i="1"/>
  <c r="E30" i="15" l="1"/>
  <c r="E26" i="1" s="1"/>
  <c r="O5" i="15"/>
  <c r="F9" i="1"/>
  <c r="E10" i="28"/>
  <c r="D17" i="26"/>
  <c r="C27" i="26" s="1"/>
  <c r="G48" i="26"/>
  <c r="G52" i="26" s="1"/>
  <c r="Q22" i="15"/>
  <c r="R22" i="15"/>
  <c r="P5" i="15" l="1"/>
  <c r="F30" i="15"/>
  <c r="F26" i="1" s="1"/>
  <c r="F10" i="28"/>
  <c r="G9" i="1"/>
  <c r="E17" i="26"/>
  <c r="D27" i="26" s="1"/>
  <c r="F17" i="26" l="1"/>
  <c r="E27" i="26" s="1"/>
  <c r="G10" i="28"/>
  <c r="G30" i="15"/>
  <c r="G26" i="1" s="1"/>
  <c r="H9" i="1"/>
  <c r="Q5" i="15"/>
  <c r="H30" i="15"/>
  <c r="H26" i="1" s="1"/>
  <c r="G17" i="26" l="1"/>
  <c r="F27" i="26" l="1"/>
  <c r="G27" i="26"/>
  <c r="B57" i="28" l="1"/>
  <c r="K47" i="30" l="1"/>
  <c r="K45" i="30" l="1"/>
  <c r="M46" i="30"/>
  <c r="L47" i="30"/>
  <c r="K29" i="30"/>
  <c r="E25" i="30"/>
  <c r="C50" i="28"/>
  <c r="C10" i="29" s="1"/>
  <c r="B24" i="29" s="1"/>
  <c r="B37" i="29" s="1"/>
  <c r="N46" i="30" l="1"/>
  <c r="K46" i="30"/>
  <c r="L46" i="30"/>
  <c r="C24" i="29"/>
  <c r="L29" i="30"/>
  <c r="D67" i="30"/>
  <c r="F25" i="30"/>
  <c r="E43" i="30"/>
  <c r="L45" i="30"/>
  <c r="F43" i="30"/>
  <c r="C80" i="30"/>
  <c r="K25" i="30"/>
  <c r="L25" i="30" l="1"/>
  <c r="D80" i="30"/>
  <c r="L43" i="30"/>
  <c r="O46" i="30"/>
  <c r="M45" i="30"/>
  <c r="C77" i="30"/>
  <c r="K43" i="30"/>
  <c r="M29" i="30"/>
  <c r="G25" i="30"/>
  <c r="M47" i="30"/>
  <c r="F14" i="2"/>
  <c r="D69" i="15"/>
  <c r="E54" i="15"/>
  <c r="M25" i="30" l="1"/>
  <c r="D77" i="30"/>
  <c r="E67" i="30"/>
  <c r="N47" i="30"/>
  <c r="G43" i="30"/>
  <c r="N29" i="30"/>
  <c r="F67" i="30"/>
  <c r="H25" i="30"/>
  <c r="K10" i="30"/>
  <c r="N45" i="30"/>
  <c r="H43" i="30"/>
  <c r="C11" i="28"/>
  <c r="C15" i="28" s="1"/>
  <c r="C4" i="29" s="1"/>
  <c r="M6" i="15"/>
  <c r="C31" i="15"/>
  <c r="C27" i="1" s="1"/>
  <c r="D10" i="1"/>
  <c r="D16" i="15"/>
  <c r="O45" i="30"/>
  <c r="D70" i="15"/>
  <c r="D5" i="29"/>
  <c r="G14" i="2"/>
  <c r="E69" i="15"/>
  <c r="F54" i="15"/>
  <c r="E31" i="2"/>
  <c r="F15" i="2"/>
  <c r="O47" i="30"/>
  <c r="M43" i="30" l="1"/>
  <c r="N25" i="30"/>
  <c r="D58" i="2"/>
  <c r="N43" i="30"/>
  <c r="I43" i="30"/>
  <c r="P43" i="30" s="1"/>
  <c r="L10" i="30"/>
  <c r="O29" i="30"/>
  <c r="G67" i="30"/>
  <c r="I25" i="30"/>
  <c r="P25" i="30" s="1"/>
  <c r="C16" i="28"/>
  <c r="C35" i="15"/>
  <c r="C31" i="1" s="1"/>
  <c r="D55" i="15"/>
  <c r="E16" i="2"/>
  <c r="B18" i="29"/>
  <c r="B31" i="29" s="1"/>
  <c r="C34" i="29"/>
  <c r="C36" i="29"/>
  <c r="C35" i="29"/>
  <c r="C33" i="29"/>
  <c r="C37" i="29"/>
  <c r="F7" i="2"/>
  <c r="D63" i="15"/>
  <c r="C18" i="26"/>
  <c r="D14" i="1"/>
  <c r="H14" i="2"/>
  <c r="F69" i="15"/>
  <c r="G54" i="15"/>
  <c r="E5" i="29"/>
  <c r="E70" i="15"/>
  <c r="C19" i="29"/>
  <c r="C32" i="29" s="1"/>
  <c r="E56" i="2"/>
  <c r="F36" i="2"/>
  <c r="F42" i="2" s="1"/>
  <c r="E54" i="2"/>
  <c r="E55" i="2"/>
  <c r="E32" i="2"/>
  <c r="D59" i="2" s="1"/>
  <c r="F18" i="2"/>
  <c r="E57" i="2"/>
  <c r="F31" i="2"/>
  <c r="G15" i="2"/>
  <c r="J14" i="2"/>
  <c r="J31" i="2" s="1"/>
  <c r="I54" i="15"/>
  <c r="E58" i="2" l="1"/>
  <c r="C4" i="26"/>
  <c r="C50" i="1"/>
  <c r="C51" i="1"/>
  <c r="C52" i="1"/>
  <c r="C48" i="1"/>
  <c r="E44" i="2"/>
  <c r="E43" i="2" s="1"/>
  <c r="D52" i="1"/>
  <c r="D36" i="1"/>
  <c r="C49" i="1"/>
  <c r="C53" i="1"/>
  <c r="D51" i="1"/>
  <c r="D48" i="1"/>
  <c r="B28" i="26"/>
  <c r="B38" i="26" s="1"/>
  <c r="E25" i="2"/>
  <c r="E80" i="30"/>
  <c r="O25" i="30"/>
  <c r="G7" i="2"/>
  <c r="E63" i="15"/>
  <c r="E77" i="30"/>
  <c r="O43" i="30"/>
  <c r="D19" i="29"/>
  <c r="H5" i="29"/>
  <c r="H19" i="29" s="1"/>
  <c r="F56" i="2"/>
  <c r="F55" i="2"/>
  <c r="G36" i="2"/>
  <c r="G42" i="2" s="1"/>
  <c r="G18" i="2"/>
  <c r="F57" i="2"/>
  <c r="F54" i="2"/>
  <c r="F70" i="15"/>
  <c r="F5" i="29"/>
  <c r="J15" i="2"/>
  <c r="J32" i="2" s="1"/>
  <c r="F32" i="2"/>
  <c r="E59" i="2" s="1"/>
  <c r="G31" i="2"/>
  <c r="H15" i="2"/>
  <c r="F25" i="2" l="1"/>
  <c r="B11" i="26"/>
  <c r="G55" i="2"/>
  <c r="G56" i="2"/>
  <c r="H36" i="2"/>
  <c r="H42" i="2" s="1"/>
  <c r="H18" i="2"/>
  <c r="G54" i="2"/>
  <c r="G32" i="2"/>
  <c r="F59" i="2" s="1"/>
  <c r="G57" i="2"/>
  <c r="J18" i="2"/>
  <c r="J36" i="2"/>
  <c r="J42" i="2" s="1"/>
  <c r="E19" i="29"/>
  <c r="F58" i="2"/>
  <c r="I14" i="2"/>
  <c r="G69" i="15"/>
  <c r="H54" i="15"/>
  <c r="H69" i="15"/>
  <c r="H31" i="2" l="1"/>
  <c r="G58" i="2" s="1"/>
  <c r="I15" i="2"/>
  <c r="I31" i="2"/>
  <c r="H58" i="2" s="1"/>
  <c r="G5" i="29"/>
  <c r="G70" i="15"/>
  <c r="H70" i="15"/>
  <c r="I36" i="2" l="1"/>
  <c r="I42" i="2" s="1"/>
  <c r="I18" i="2"/>
  <c r="H57" i="2"/>
  <c r="H56" i="2"/>
  <c r="H54" i="2"/>
  <c r="H32" i="2"/>
  <c r="G59" i="2" s="1"/>
  <c r="H55" i="2"/>
  <c r="I32" i="2"/>
  <c r="H59" i="2" s="1"/>
  <c r="F19" i="29"/>
  <c r="G19" i="29"/>
  <c r="D68" i="30" l="1"/>
  <c r="F7" i="1" l="1"/>
  <c r="O9" i="15"/>
  <c r="E6" i="28"/>
  <c r="E51" i="26" l="1"/>
  <c r="E12" i="29"/>
  <c r="E21" i="26"/>
  <c r="K16" i="30" l="1"/>
  <c r="C68" i="30"/>
  <c r="L16" i="30"/>
  <c r="E7" i="1" l="1"/>
  <c r="D6" i="28"/>
  <c r="D28" i="15"/>
  <c r="D24" i="1" s="1"/>
  <c r="N9" i="15"/>
  <c r="E28" i="15"/>
  <c r="E24" i="1" s="1"/>
  <c r="N23" i="15" l="1"/>
  <c r="D51" i="26"/>
  <c r="D12" i="29"/>
  <c r="O23" i="15"/>
  <c r="D21" i="26"/>
  <c r="D26" i="29" l="1"/>
  <c r="C31" i="26"/>
  <c r="D31" i="26"/>
  <c r="O26" i="15"/>
  <c r="D4" i="30" l="1"/>
  <c r="B66" i="30"/>
  <c r="B69" i="30" s="1"/>
  <c r="J8" i="30"/>
  <c r="D47" i="15"/>
  <c r="C61" i="15"/>
  <c r="E5" i="2"/>
  <c r="J4" i="30" l="1"/>
  <c r="K14" i="30"/>
  <c r="E11" i="30"/>
  <c r="D23" i="2"/>
  <c r="E8" i="2"/>
  <c r="D10" i="15"/>
  <c r="D48" i="15" s="1"/>
  <c r="C4" i="28"/>
  <c r="C7" i="28" s="1"/>
  <c r="M7" i="15"/>
  <c r="M10" i="15" s="1"/>
  <c r="C26" i="15"/>
  <c r="C22" i="1" s="1"/>
  <c r="D5" i="1"/>
  <c r="B81" i="30"/>
  <c r="D49" i="30"/>
  <c r="B58" i="30" s="1"/>
  <c r="L14" i="30"/>
  <c r="F11" i="30"/>
  <c r="B74" i="30"/>
  <c r="C3" i="29"/>
  <c r="C64" i="15"/>
  <c r="D61" i="15"/>
  <c r="F5" i="2"/>
  <c r="K8" i="30"/>
  <c r="C66" i="30"/>
  <c r="B57" i="30" l="1"/>
  <c r="B56" i="30"/>
  <c r="B55" i="30"/>
  <c r="B53" i="30"/>
  <c r="B54" i="30"/>
  <c r="P10" i="30"/>
  <c r="P3" i="30"/>
  <c r="F23" i="30"/>
  <c r="L11" i="30"/>
  <c r="P30" i="30"/>
  <c r="P22" i="30"/>
  <c r="P24" i="30"/>
  <c r="P36" i="30"/>
  <c r="P42" i="30"/>
  <c r="J49" i="30"/>
  <c r="B59" i="30" s="1"/>
  <c r="K5" i="2"/>
  <c r="K11" i="30"/>
  <c r="E23" i="30"/>
  <c r="E23" i="2"/>
  <c r="D50" i="2" s="1"/>
  <c r="D3" i="30"/>
  <c r="B17" i="29"/>
  <c r="B30" i="29" s="1"/>
  <c r="B82" i="30"/>
  <c r="D50" i="30"/>
  <c r="C2" i="29"/>
  <c r="K8" i="2"/>
  <c r="K7" i="2"/>
  <c r="K6" i="2"/>
  <c r="C48" i="2"/>
  <c r="C49" i="2"/>
  <c r="E17" i="2"/>
  <c r="K3" i="2"/>
  <c r="C51" i="2"/>
  <c r="D26" i="2"/>
  <c r="C53" i="2" s="1"/>
  <c r="K4" i="2"/>
  <c r="C50" i="2"/>
  <c r="E35" i="2"/>
  <c r="E38" i="2" s="1"/>
  <c r="D51" i="2"/>
  <c r="D48" i="2"/>
  <c r="E61" i="15"/>
  <c r="G5" i="2"/>
  <c r="B78" i="30"/>
  <c r="C19" i="26"/>
  <c r="D8" i="1"/>
  <c r="C8" i="28"/>
  <c r="C29" i="15"/>
  <c r="C25" i="1" s="1"/>
  <c r="D17" i="15"/>
  <c r="C36" i="15" s="1"/>
  <c r="L8" i="30"/>
  <c r="D66" i="30"/>
  <c r="F76" i="30" l="1"/>
  <c r="F80" i="30"/>
  <c r="F79" i="30"/>
  <c r="F77" i="30"/>
  <c r="C52" i="2"/>
  <c r="C75" i="30"/>
  <c r="K23" i="30"/>
  <c r="L23" i="30"/>
  <c r="E26" i="15"/>
  <c r="E22" i="1" s="1"/>
  <c r="E40" i="2"/>
  <c r="E39" i="2" s="1"/>
  <c r="C43" i="1"/>
  <c r="C47" i="1"/>
  <c r="C44" i="1"/>
  <c r="C3" i="26"/>
  <c r="C46" i="1"/>
  <c r="C45" i="1"/>
  <c r="C42" i="1"/>
  <c r="D35" i="1"/>
  <c r="D38" i="1" s="1"/>
  <c r="D45" i="1"/>
  <c r="D42" i="1"/>
  <c r="D15" i="1"/>
  <c r="D46" i="1"/>
  <c r="F23" i="2"/>
  <c r="J3" i="30"/>
  <c r="B60" i="30" s="1"/>
  <c r="F61" i="15"/>
  <c r="H5" i="2"/>
  <c r="M14" i="30"/>
  <c r="C32" i="1"/>
  <c r="B29" i="26"/>
  <c r="B39" i="26" s="1"/>
  <c r="C22" i="26"/>
  <c r="M8" i="30"/>
  <c r="E4" i="28"/>
  <c r="F5" i="1"/>
  <c r="E9" i="2"/>
  <c r="B16" i="29"/>
  <c r="B29" i="29" s="1"/>
  <c r="C11" i="29"/>
  <c r="B25" i="29" l="1"/>
  <c r="C33" i="1" s="1"/>
  <c r="D75" i="30"/>
  <c r="F75" i="30" s="1"/>
  <c r="E66" i="30"/>
  <c r="G23" i="2"/>
  <c r="B32" i="26"/>
  <c r="B42" i="26" s="1"/>
  <c r="C40" i="26"/>
  <c r="C37" i="26"/>
  <c r="C41" i="26"/>
  <c r="B10" i="26"/>
  <c r="C5" i="26"/>
  <c r="C6" i="26" s="1"/>
  <c r="G5" i="1"/>
  <c r="F26" i="15"/>
  <c r="F22" i="1" s="1"/>
  <c r="F4" i="28"/>
  <c r="D16" i="1"/>
  <c r="D4" i="28"/>
  <c r="E5" i="1"/>
  <c r="D26" i="15"/>
  <c r="D22" i="1" s="1"/>
  <c r="D44" i="1" s="1"/>
  <c r="C23" i="26" l="1"/>
  <c r="B12" i="26"/>
  <c r="B13" i="26" s="1"/>
  <c r="B33" i="26" l="1"/>
  <c r="E32" i="15" l="1"/>
  <c r="E28" i="1" s="1"/>
  <c r="O7" i="15"/>
  <c r="E12" i="28"/>
  <c r="F11" i="1"/>
  <c r="G11" i="1"/>
  <c r="F12" i="28"/>
  <c r="F32" i="15"/>
  <c r="F28" i="1" s="1"/>
  <c r="P7" i="15"/>
  <c r="N7" i="15"/>
  <c r="D12" i="28"/>
  <c r="E11" i="1"/>
  <c r="D32" i="15"/>
  <c r="D28" i="1" s="1"/>
  <c r="D50" i="1" s="1"/>
  <c r="E19" i="26" l="1"/>
  <c r="D19" i="26"/>
  <c r="F19" i="26"/>
  <c r="E29" i="26" l="1"/>
  <c r="C29" i="26"/>
  <c r="C39" i="26" s="1"/>
  <c r="D29" i="26"/>
  <c r="P8" i="30" l="1"/>
  <c r="J5" i="2" l="1"/>
  <c r="J23" i="2" s="1"/>
  <c r="O8" i="30"/>
  <c r="G61" i="15" l="1"/>
  <c r="I5" i="2"/>
  <c r="I23" i="2" s="1"/>
  <c r="N8" i="30"/>
  <c r="H61" i="15"/>
  <c r="H23" i="2" l="1"/>
  <c r="G26" i="15" l="1"/>
  <c r="G22" i="1" s="1"/>
  <c r="G4" i="28"/>
  <c r="H5" i="1"/>
  <c r="N14" i="30"/>
  <c r="F66" i="30"/>
  <c r="O14" i="30" l="1"/>
  <c r="G66" i="30"/>
  <c r="H26" i="15" l="1"/>
  <c r="H22" i="1" s="1"/>
  <c r="H4" i="28"/>
  <c r="I5" i="1"/>
  <c r="G12" i="28" l="1"/>
  <c r="Q7" i="15"/>
  <c r="H11" i="1"/>
  <c r="G32" i="15"/>
  <c r="G28" i="1" s="1"/>
  <c r="G19" i="26" l="1"/>
  <c r="F29" i="26" s="1"/>
  <c r="R7" i="15" l="1"/>
  <c r="I11" i="1"/>
  <c r="H19" i="26" s="1"/>
  <c r="G29" i="26" s="1"/>
  <c r="H12" i="28"/>
  <c r="H32" i="15"/>
  <c r="H28" i="1" s="1"/>
  <c r="D60" i="15" l="1"/>
  <c r="F4" i="2"/>
  <c r="E47" i="15"/>
  <c r="K7" i="30"/>
  <c r="C65" i="30"/>
  <c r="E22" i="2" l="1"/>
  <c r="D49" i="2" s="1"/>
  <c r="F8" i="2"/>
  <c r="L7" i="30"/>
  <c r="D65" i="30"/>
  <c r="D69" i="30" s="1"/>
  <c r="F4" i="30"/>
  <c r="C74" i="30"/>
  <c r="D64" i="15"/>
  <c r="D3" i="29"/>
  <c r="E60" i="15"/>
  <c r="G4" i="2"/>
  <c r="F47" i="15"/>
  <c r="C17" i="29" l="1"/>
  <c r="C30" i="29" s="1"/>
  <c r="E3" i="30"/>
  <c r="F22" i="2"/>
  <c r="E49" i="2" s="1"/>
  <c r="G8" i="2"/>
  <c r="E64" i="15"/>
  <c r="E3" i="29"/>
  <c r="D74" i="30"/>
  <c r="F74" i="30" s="1"/>
  <c r="C78" i="30"/>
  <c r="D78" i="30" s="1"/>
  <c r="F78" i="30" s="1"/>
  <c r="F35" i="2"/>
  <c r="F38" i="2" s="1"/>
  <c r="E51" i="2"/>
  <c r="E26" i="2"/>
  <c r="D53" i="2" s="1"/>
  <c r="F17" i="2"/>
  <c r="E48" i="2"/>
  <c r="E50" i="2"/>
  <c r="F49" i="30"/>
  <c r="D58" i="30" s="1"/>
  <c r="D56" i="30" l="1"/>
  <c r="D55" i="30"/>
  <c r="D57" i="30"/>
  <c r="D54" i="30"/>
  <c r="H4" i="2"/>
  <c r="F60" i="15"/>
  <c r="D52" i="2"/>
  <c r="D17" i="29"/>
  <c r="F3" i="30"/>
  <c r="F51" i="2"/>
  <c r="G17" i="2"/>
  <c r="G35" i="2"/>
  <c r="G38" i="2" s="1"/>
  <c r="F26" i="2"/>
  <c r="E53" i="2" s="1"/>
  <c r="F48" i="2"/>
  <c r="F50" i="2"/>
  <c r="K3" i="30"/>
  <c r="D25" i="15"/>
  <c r="D21" i="1" s="1"/>
  <c r="D43" i="1" s="1"/>
  <c r="D3" i="28"/>
  <c r="D7" i="28" s="1"/>
  <c r="E4" i="1"/>
  <c r="E10" i="15"/>
  <c r="M7" i="30"/>
  <c r="E65" i="30"/>
  <c r="D2" i="29" l="1"/>
  <c r="I3" i="29" s="1"/>
  <c r="E50" i="30"/>
  <c r="G60" i="15"/>
  <c r="I4" i="2"/>
  <c r="L3" i="30"/>
  <c r="D60" i="30" s="1"/>
  <c r="D29" i="15"/>
  <c r="D25" i="1" s="1"/>
  <c r="D47" i="1" s="1"/>
  <c r="D8" i="28"/>
  <c r="E48" i="15"/>
  <c r="E52" i="2"/>
  <c r="P7" i="30"/>
  <c r="F4" i="1"/>
  <c r="E25" i="15"/>
  <c r="E21" i="1" s="1"/>
  <c r="E3" i="28"/>
  <c r="E7" i="28" s="1"/>
  <c r="F10" i="15"/>
  <c r="E8" i="1"/>
  <c r="N7" i="30"/>
  <c r="F65" i="30"/>
  <c r="G22" i="2"/>
  <c r="F49" i="2" s="1"/>
  <c r="E43" i="1" l="1"/>
  <c r="F50" i="30"/>
  <c r="E2" i="29"/>
  <c r="D16" i="29" s="1"/>
  <c r="D29" i="29" s="1"/>
  <c r="O7" i="30"/>
  <c r="G65" i="30"/>
  <c r="H22" i="2"/>
  <c r="H3" i="28"/>
  <c r="I4" i="1"/>
  <c r="E46" i="1"/>
  <c r="E42" i="1"/>
  <c r="E35" i="1"/>
  <c r="E38" i="1" s="1"/>
  <c r="E45" i="1"/>
  <c r="D3" i="26"/>
  <c r="C10" i="26" s="1"/>
  <c r="F40" i="2"/>
  <c r="F39" i="2" s="1"/>
  <c r="E44" i="1"/>
  <c r="F9" i="2"/>
  <c r="F8" i="1"/>
  <c r="E8" i="28"/>
  <c r="E29" i="15"/>
  <c r="E25" i="1" s="1"/>
  <c r="E47" i="1" s="1"/>
  <c r="F48" i="15"/>
  <c r="H60" i="15"/>
  <c r="J4" i="2"/>
  <c r="J22" i="2" s="1"/>
  <c r="C16" i="29"/>
  <c r="C29" i="29" s="1"/>
  <c r="J3" i="29"/>
  <c r="E3" i="26" l="1"/>
  <c r="D10" i="26" s="1"/>
  <c r="F35" i="1"/>
  <c r="F38" i="1" s="1"/>
  <c r="G40" i="2"/>
  <c r="G39" i="2" s="1"/>
  <c r="F45" i="1"/>
  <c r="F42" i="1"/>
  <c r="F44" i="1"/>
  <c r="G9" i="2"/>
  <c r="I22" i="2"/>
  <c r="F3" i="28"/>
  <c r="G4" i="1"/>
  <c r="F25" i="15"/>
  <c r="F21" i="1" s="1"/>
  <c r="F43" i="1" s="1"/>
  <c r="G25" i="15" l="1"/>
  <c r="G21" i="1" s="1"/>
  <c r="G3" i="28"/>
  <c r="H4" i="1"/>
  <c r="H25" i="15"/>
  <c r="H21" i="1" s="1"/>
  <c r="O6" i="15" l="1"/>
  <c r="O10" i="15" s="1"/>
  <c r="F10" i="1"/>
  <c r="E11" i="28"/>
  <c r="F16" i="15"/>
  <c r="E15" i="28" l="1"/>
  <c r="E4" i="29" s="1"/>
  <c r="E18" i="26"/>
  <c r="F14" i="1"/>
  <c r="E16" i="28"/>
  <c r="F55" i="15"/>
  <c r="G16" i="2"/>
  <c r="F17" i="15"/>
  <c r="F36" i="1" l="1"/>
  <c r="E4" i="26"/>
  <c r="F51" i="1"/>
  <c r="G44" i="2"/>
  <c r="G43" i="2" s="1"/>
  <c r="F52" i="1"/>
  <c r="F48" i="1"/>
  <c r="F15" i="1"/>
  <c r="F50" i="1"/>
  <c r="E22" i="26"/>
  <c r="E36" i="29"/>
  <c r="E35" i="29"/>
  <c r="E34" i="29"/>
  <c r="E33" i="29"/>
  <c r="E37" i="29"/>
  <c r="E32" i="29"/>
  <c r="E11" i="29"/>
  <c r="H10" i="1" l="1"/>
  <c r="Q6" i="15"/>
  <c r="Q10" i="15" s="1"/>
  <c r="G31" i="15"/>
  <c r="G27" i="1" s="1"/>
  <c r="G11" i="28"/>
  <c r="G15" i="28" s="1"/>
  <c r="G4" i="29" s="1"/>
  <c r="H16" i="15"/>
  <c r="F16" i="1"/>
  <c r="F11" i="28"/>
  <c r="F15" i="28" s="1"/>
  <c r="F4" i="29" s="1"/>
  <c r="F31" i="15"/>
  <c r="F27" i="1" s="1"/>
  <c r="F49" i="1" s="1"/>
  <c r="G10" i="1"/>
  <c r="P6" i="15"/>
  <c r="P10" i="15" s="1"/>
  <c r="G16" i="15"/>
  <c r="E37" i="26"/>
  <c r="E40" i="26"/>
  <c r="E39" i="26"/>
  <c r="E5" i="26"/>
  <c r="E6" i="26" s="1"/>
  <c r="E23" i="26" l="1"/>
  <c r="F18" i="26"/>
  <c r="E28" i="26" s="1"/>
  <c r="E38" i="26" s="1"/>
  <c r="G14" i="1"/>
  <c r="G16" i="28"/>
  <c r="G35" i="15"/>
  <c r="G31" i="1" s="1"/>
  <c r="H55" i="15"/>
  <c r="I16" i="2"/>
  <c r="G18" i="26"/>
  <c r="H14" i="1"/>
  <c r="F35" i="15"/>
  <c r="F31" i="1" s="1"/>
  <c r="F53" i="1" s="1"/>
  <c r="F16" i="28"/>
  <c r="G55" i="15"/>
  <c r="H16" i="2"/>
  <c r="E18" i="29"/>
  <c r="E31" i="29" s="1"/>
  <c r="F34" i="29"/>
  <c r="F36" i="29"/>
  <c r="F35" i="29"/>
  <c r="F33" i="29"/>
  <c r="F37" i="29"/>
  <c r="F32" i="29"/>
  <c r="F18" i="29"/>
  <c r="F31" i="29" s="1"/>
  <c r="G34" i="29"/>
  <c r="G35" i="29"/>
  <c r="G36" i="29"/>
  <c r="G33" i="29"/>
  <c r="G37" i="29"/>
  <c r="G32" i="29"/>
  <c r="F28" i="26" l="1"/>
  <c r="G4" i="26"/>
  <c r="H51" i="1"/>
  <c r="H36" i="1"/>
  <c r="H52" i="1"/>
  <c r="I44" i="2"/>
  <c r="I43" i="2" s="1"/>
  <c r="H48" i="1"/>
  <c r="H50" i="1"/>
  <c r="R6" i="15"/>
  <c r="R10" i="15" s="1"/>
  <c r="H31" i="15"/>
  <c r="H27" i="1" s="1"/>
  <c r="H49" i="1" s="1"/>
  <c r="H11" i="28"/>
  <c r="H15" i="28" s="1"/>
  <c r="H4" i="29" s="1"/>
  <c r="I10" i="1"/>
  <c r="I16" i="15"/>
  <c r="G49" i="1"/>
  <c r="G53" i="1"/>
  <c r="G51" i="1"/>
  <c r="G52" i="1"/>
  <c r="G36" i="1"/>
  <c r="F4" i="26"/>
  <c r="E11" i="26" s="1"/>
  <c r="H44" i="2"/>
  <c r="H43" i="2" s="1"/>
  <c r="G48" i="1"/>
  <c r="G50" i="1"/>
  <c r="H35" i="15" l="1"/>
  <c r="H31" i="1" s="1"/>
  <c r="H53" i="1" s="1"/>
  <c r="H16" i="28"/>
  <c r="I55" i="15"/>
  <c r="J16" i="2"/>
  <c r="H18" i="26"/>
  <c r="G28" i="26" s="1"/>
  <c r="I14" i="1"/>
  <c r="G18" i="29"/>
  <c r="G31" i="29" s="1"/>
  <c r="F11" i="26"/>
  <c r="J44" i="2" l="1"/>
  <c r="J43" i="2" s="1"/>
  <c r="I36" i="1"/>
  <c r="H4" i="26"/>
  <c r="G11" i="26" s="1"/>
  <c r="J7" i="2" l="1"/>
  <c r="J25" i="2" s="1"/>
  <c r="I47" i="15"/>
  <c r="M10" i="30"/>
  <c r="G4" i="30"/>
  <c r="I4" i="30"/>
  <c r="O10" i="30"/>
  <c r="H7" i="2"/>
  <c r="F63" i="15"/>
  <c r="G47" i="15"/>
  <c r="M4" i="30" l="1"/>
  <c r="F64" i="15"/>
  <c r="F3" i="29"/>
  <c r="N10" i="30"/>
  <c r="H4" i="30"/>
  <c r="G63" i="15"/>
  <c r="I7" i="2"/>
  <c r="I25" i="2" s="1"/>
  <c r="H47" i="15"/>
  <c r="H64" i="15" s="1"/>
  <c r="H3" i="29"/>
  <c r="H17" i="29" s="1"/>
  <c r="G25" i="2"/>
  <c r="H8" i="2"/>
  <c r="H63" i="15"/>
  <c r="J8" i="2"/>
  <c r="J26" i="2" s="1"/>
  <c r="N4" i="30" l="1"/>
  <c r="O4" i="30"/>
  <c r="J35" i="2"/>
  <c r="J38" i="2" s="1"/>
  <c r="J17" i="2"/>
  <c r="G3" i="29"/>
  <c r="G17" i="29" s="1"/>
  <c r="G64" i="15"/>
  <c r="H17" i="2"/>
  <c r="G26" i="2"/>
  <c r="F53" i="2" s="1"/>
  <c r="G51" i="2"/>
  <c r="H35" i="2"/>
  <c r="H38" i="2" s="1"/>
  <c r="G48" i="2"/>
  <c r="G50" i="2"/>
  <c r="G49" i="2"/>
  <c r="I3" i="30"/>
  <c r="E74" i="30"/>
  <c r="H25" i="2"/>
  <c r="I8" i="2"/>
  <c r="G3" i="30"/>
  <c r="E17" i="29"/>
  <c r="E30" i="29" s="1"/>
  <c r="M3" i="30" l="1"/>
  <c r="F52" i="2"/>
  <c r="I35" i="2"/>
  <c r="I38" i="2" s="1"/>
  <c r="H51" i="2"/>
  <c r="H26" i="2"/>
  <c r="H48" i="2"/>
  <c r="I17" i="2"/>
  <c r="H50" i="2"/>
  <c r="H49" i="2"/>
  <c r="F17" i="29"/>
  <c r="F30" i="29" s="1"/>
  <c r="H3" i="30"/>
  <c r="G30" i="29"/>
  <c r="I26" i="2"/>
  <c r="N3" i="30" l="1"/>
  <c r="H53" i="2"/>
  <c r="H52" i="2"/>
  <c r="O3" i="30"/>
  <c r="G53" i="2"/>
  <c r="G52" i="2"/>
  <c r="G68" i="30" l="1"/>
  <c r="G69" i="30" s="1"/>
  <c r="I11" i="30"/>
  <c r="P11" i="30" s="1"/>
  <c r="M16" i="30" l="1"/>
  <c r="E68" i="30"/>
  <c r="E69" i="30" s="1"/>
  <c r="G11" i="30"/>
  <c r="G7" i="1"/>
  <c r="F28" i="15"/>
  <c r="F24" i="1" s="1"/>
  <c r="F46" i="1" s="1"/>
  <c r="P9" i="15"/>
  <c r="F6" i="28"/>
  <c r="F7" i="28" s="1"/>
  <c r="G10" i="15"/>
  <c r="H51" i="26"/>
  <c r="H12" i="29"/>
  <c r="I7" i="1"/>
  <c r="H6" i="28"/>
  <c r="H7" i="28" s="1"/>
  <c r="R9" i="15"/>
  <c r="I10" i="15"/>
  <c r="I23" i="30"/>
  <c r="P23" i="30" l="1"/>
  <c r="E75" i="30" s="1"/>
  <c r="H26" i="29"/>
  <c r="F51" i="26"/>
  <c r="P23" i="15"/>
  <c r="F29" i="15"/>
  <c r="F25" i="1" s="1"/>
  <c r="F47" i="1" s="1"/>
  <c r="F8" i="28"/>
  <c r="G48" i="15"/>
  <c r="G17" i="15"/>
  <c r="F36" i="15" s="1"/>
  <c r="F21" i="26"/>
  <c r="G8" i="1"/>
  <c r="H2" i="29"/>
  <c r="H16" i="29" s="1"/>
  <c r="I50" i="30"/>
  <c r="G50" i="30"/>
  <c r="F2" i="29"/>
  <c r="M11" i="30"/>
  <c r="G23" i="30"/>
  <c r="I48" i="15"/>
  <c r="H8" i="28"/>
  <c r="I17" i="15"/>
  <c r="H21" i="26"/>
  <c r="I8" i="1"/>
  <c r="I49" i="30"/>
  <c r="G60" i="30" s="1"/>
  <c r="N16" i="30"/>
  <c r="F68" i="30"/>
  <c r="F69" i="30" s="1"/>
  <c r="H11" i="30"/>
  <c r="O16" i="30"/>
  <c r="G58" i="30" l="1"/>
  <c r="G53" i="30"/>
  <c r="G57" i="30"/>
  <c r="G55" i="30"/>
  <c r="P26" i="15"/>
  <c r="F12" i="29"/>
  <c r="E26" i="29" s="1"/>
  <c r="E38" i="29" s="1"/>
  <c r="I35" i="1"/>
  <c r="I38" i="1" s="1"/>
  <c r="J40" i="2"/>
  <c r="J39" i="2" s="1"/>
  <c r="J9" i="2"/>
  <c r="H3" i="26"/>
  <c r="I15" i="1"/>
  <c r="M23" i="30"/>
  <c r="G49" i="30"/>
  <c r="E31" i="26"/>
  <c r="E41" i="26" s="1"/>
  <c r="F22" i="26"/>
  <c r="H22" i="26"/>
  <c r="H11" i="29"/>
  <c r="F32" i="1"/>
  <c r="N11" i="30"/>
  <c r="H23" i="30"/>
  <c r="O11" i="30"/>
  <c r="G28" i="15"/>
  <c r="G24" i="1" s="1"/>
  <c r="G46" i="1" s="1"/>
  <c r="Q9" i="15"/>
  <c r="G6" i="28"/>
  <c r="G7" i="28" s="1"/>
  <c r="H50" i="30" s="1"/>
  <c r="H7" i="1"/>
  <c r="H10" i="15"/>
  <c r="H28" i="15"/>
  <c r="H24" i="1" s="1"/>
  <c r="E16" i="29"/>
  <c r="E29" i="29" s="1"/>
  <c r="F11" i="29"/>
  <c r="G51" i="26"/>
  <c r="Q23" i="15"/>
  <c r="G12" i="29"/>
  <c r="R23" i="15"/>
  <c r="G43" i="1"/>
  <c r="G35" i="1"/>
  <c r="G38" i="1" s="1"/>
  <c r="G42" i="1"/>
  <c r="G44" i="1"/>
  <c r="H9" i="2"/>
  <c r="H40" i="2"/>
  <c r="H39" i="2" s="1"/>
  <c r="F3" i="26"/>
  <c r="G45" i="1"/>
  <c r="G15" i="1"/>
  <c r="E60" i="30" l="1"/>
  <c r="E55" i="30"/>
  <c r="E57" i="30"/>
  <c r="E53" i="30"/>
  <c r="E56" i="30"/>
  <c r="E58" i="30"/>
  <c r="E54" i="30"/>
  <c r="F26" i="29"/>
  <c r="F38" i="29" s="1"/>
  <c r="G26" i="29"/>
  <c r="G38" i="29" s="1"/>
  <c r="E25" i="29"/>
  <c r="F33" i="1" s="1"/>
  <c r="G16" i="1"/>
  <c r="G21" i="26"/>
  <c r="H8" i="1"/>
  <c r="H46" i="1" s="1"/>
  <c r="M49" i="30"/>
  <c r="E59" i="30" s="1"/>
  <c r="R26" i="15"/>
  <c r="Q26" i="15"/>
  <c r="G2" i="29"/>
  <c r="F40" i="26"/>
  <c r="F39" i="26"/>
  <c r="F37" i="26"/>
  <c r="F38" i="26"/>
  <c r="E32" i="26"/>
  <c r="E42" i="26" s="1"/>
  <c r="H49" i="30"/>
  <c r="G56" i="30" s="1"/>
  <c r="N23" i="30"/>
  <c r="O23" i="30"/>
  <c r="G54" i="30" s="1"/>
  <c r="I16" i="1"/>
  <c r="E10" i="26"/>
  <c r="F5" i="26"/>
  <c r="F6" i="26" s="1"/>
  <c r="H48" i="15"/>
  <c r="G29" i="15"/>
  <c r="G25" i="1" s="1"/>
  <c r="G47" i="1" s="1"/>
  <c r="G8" i="28"/>
  <c r="H17" i="15"/>
  <c r="H29" i="15"/>
  <c r="H25" i="1" s="1"/>
  <c r="H5" i="26"/>
  <c r="H6" i="26" s="1"/>
  <c r="F56" i="30" l="1"/>
  <c r="F60" i="30"/>
  <c r="F57" i="30"/>
  <c r="F58" i="30"/>
  <c r="F55" i="30"/>
  <c r="F53" i="30"/>
  <c r="F54" i="30"/>
  <c r="H47" i="1"/>
  <c r="F16" i="29"/>
  <c r="F29" i="29" s="1"/>
  <c r="G11" i="29"/>
  <c r="G16" i="29"/>
  <c r="G29" i="29" s="1"/>
  <c r="H44" i="1"/>
  <c r="H42" i="1"/>
  <c r="I40" i="2"/>
  <c r="I39" i="2" s="1"/>
  <c r="I9" i="2"/>
  <c r="H35" i="1"/>
  <c r="H38" i="1" s="1"/>
  <c r="G3" i="26"/>
  <c r="H45" i="1"/>
  <c r="H43" i="1"/>
  <c r="H15" i="1"/>
  <c r="N49" i="30"/>
  <c r="F59" i="30" s="1"/>
  <c r="O49" i="30"/>
  <c r="G59" i="30" s="1"/>
  <c r="H23" i="26"/>
  <c r="G36" i="15"/>
  <c r="H36" i="15"/>
  <c r="E12" i="26"/>
  <c r="E13" i="26" s="1"/>
  <c r="F23" i="26"/>
  <c r="F31" i="26"/>
  <c r="F41" i="26" s="1"/>
  <c r="G22" i="26"/>
  <c r="G31" i="26"/>
  <c r="H29" i="29" l="1"/>
  <c r="G41" i="26"/>
  <c r="H16" i="1"/>
  <c r="H32" i="1"/>
  <c r="G32" i="1"/>
  <c r="F10" i="26"/>
  <c r="G5" i="26"/>
  <c r="G6" i="26" s="1"/>
  <c r="G10" i="26"/>
  <c r="F25" i="29"/>
  <c r="G25" i="29"/>
  <c r="G40" i="26"/>
  <c r="F32" i="26"/>
  <c r="F42" i="26" s="1"/>
  <c r="G37" i="26"/>
  <c r="G39" i="26"/>
  <c r="G38" i="26"/>
  <c r="G32" i="26"/>
  <c r="G42" i="26" s="1"/>
  <c r="E33" i="26"/>
  <c r="G33" i="1" l="1"/>
  <c r="G23" i="26"/>
  <c r="F12" i="26"/>
  <c r="F13" i="26" s="1"/>
  <c r="G12" i="26"/>
  <c r="G13" i="26" s="1"/>
  <c r="H33" i="1"/>
  <c r="F33" i="26" l="1"/>
  <c r="G33" i="26"/>
  <c r="D11" i="28" l="1"/>
  <c r="D15" i="28" s="1"/>
  <c r="D4" i="29" s="1"/>
  <c r="D31" i="15"/>
  <c r="D27" i="1" s="1"/>
  <c r="D49" i="1" s="1"/>
  <c r="E10" i="1"/>
  <c r="N6" i="15"/>
  <c r="N10" i="15" s="1"/>
  <c r="E16" i="15"/>
  <c r="E31" i="15"/>
  <c r="E27" i="1" s="1"/>
  <c r="H18" i="29" l="1"/>
  <c r="D38" i="29"/>
  <c r="I10" i="29"/>
  <c r="I8" i="29"/>
  <c r="I9" i="29"/>
  <c r="I6" i="29"/>
  <c r="I4" i="29"/>
  <c r="I7" i="29"/>
  <c r="I5" i="29"/>
  <c r="D18" i="26"/>
  <c r="E14" i="1"/>
  <c r="D16" i="28"/>
  <c r="D35" i="15"/>
  <c r="D31" i="1" s="1"/>
  <c r="D53" i="1" s="1"/>
  <c r="E55" i="15"/>
  <c r="F16" i="2"/>
  <c r="E17" i="15"/>
  <c r="E35" i="15"/>
  <c r="E31" i="1" s="1"/>
  <c r="D36" i="29"/>
  <c r="H36" i="29" s="1"/>
  <c r="D37" i="29"/>
  <c r="H37" i="29" s="1"/>
  <c r="D33" i="29"/>
  <c r="H33" i="29" s="1"/>
  <c r="D35" i="29"/>
  <c r="H35" i="29" s="1"/>
  <c r="C18" i="29"/>
  <c r="C31" i="29" s="1"/>
  <c r="D34" i="29"/>
  <c r="H34" i="29" s="1"/>
  <c r="D32" i="29"/>
  <c r="H32" i="29" s="1"/>
  <c r="D11" i="29"/>
  <c r="H25" i="29" s="1"/>
  <c r="D30" i="29"/>
  <c r="H30" i="29" s="1"/>
  <c r="D18" i="29"/>
  <c r="D31" i="29" s="1"/>
  <c r="H31" i="29" l="1"/>
  <c r="E53" i="1"/>
  <c r="E52" i="1"/>
  <c r="E36" i="1"/>
  <c r="E51" i="1"/>
  <c r="D4" i="26"/>
  <c r="F44" i="2"/>
  <c r="F43" i="2" s="1"/>
  <c r="E48" i="1"/>
  <c r="E15" i="1"/>
  <c r="E16" i="1" s="1"/>
  <c r="E50" i="1"/>
  <c r="C25" i="29"/>
  <c r="D25" i="29"/>
  <c r="E49" i="1"/>
  <c r="D36" i="15"/>
  <c r="E36" i="15"/>
  <c r="C28" i="26"/>
  <c r="C38" i="26" s="1"/>
  <c r="D22" i="26"/>
  <c r="D28" i="26"/>
  <c r="D38" i="26" l="1"/>
  <c r="E32" i="1"/>
  <c r="E33" i="1" s="1"/>
  <c r="D32" i="1"/>
  <c r="D33" i="1" s="1"/>
  <c r="C11" i="26"/>
  <c r="D5" i="26"/>
  <c r="D6" i="26" s="1"/>
  <c r="D11" i="26"/>
  <c r="D41" i="26"/>
  <c r="C32" i="26"/>
  <c r="C42" i="26" s="1"/>
  <c r="D40" i="26"/>
  <c r="D37" i="26"/>
  <c r="D39" i="26"/>
  <c r="D32" i="26"/>
  <c r="D42" i="26" s="1"/>
  <c r="C12" i="26" l="1"/>
  <c r="C13" i="26" s="1"/>
  <c r="D23" i="26"/>
  <c r="D12" i="26"/>
  <c r="D13" i="26" s="1"/>
  <c r="D33" i="26" l="1"/>
  <c r="C33" i="26"/>
  <c r="E4" i="30"/>
  <c r="C67" i="30"/>
  <c r="C69" i="30" s="1"/>
  <c r="L9" i="30"/>
  <c r="K9" i="30"/>
  <c r="K4" i="30" l="1"/>
  <c r="P4" i="30"/>
  <c r="E81" i="30" s="1"/>
  <c r="E49" i="30"/>
  <c r="C58" i="30" s="1"/>
  <c r="C81" i="30"/>
  <c r="D81" i="30" s="1"/>
  <c r="F81" i="30" s="1"/>
  <c r="L4" i="30"/>
  <c r="D53" i="30" s="1"/>
  <c r="C60" i="30" l="1"/>
  <c r="H60" i="30" s="1"/>
  <c r="C55" i="30"/>
  <c r="H55" i="30" s="1"/>
  <c r="H58" i="30"/>
  <c r="C57" i="30"/>
  <c r="H57" i="30" s="1"/>
  <c r="C53" i="30"/>
  <c r="H53" i="30" s="1"/>
  <c r="C56" i="30"/>
  <c r="H56" i="30" s="1"/>
  <c r="C54" i="30"/>
  <c r="H54" i="30" s="1"/>
  <c r="L49" i="30"/>
  <c r="D59" i="30" s="1"/>
  <c r="P49" i="30"/>
  <c r="C82" i="30"/>
  <c r="G81" i="30" s="1"/>
  <c r="K49" i="30"/>
  <c r="C59" i="30" l="1"/>
  <c r="H59" i="30" s="1"/>
  <c r="E82" i="30"/>
  <c r="E78" i="30"/>
  <c r="D82" i="30"/>
  <c r="F82" i="30" s="1"/>
  <c r="G79" i="30"/>
  <c r="G76" i="30"/>
  <c r="G80" i="30"/>
  <c r="G77" i="30"/>
  <c r="G75" i="30"/>
  <c r="G74" i="30"/>
  <c r="G82" i="30" l="1"/>
  <c r="L26" i="15"/>
  <c r="C50" i="26"/>
  <c r="C52" i="26" s="1"/>
  <c r="N24" i="15"/>
  <c r="C12" i="29"/>
  <c r="C26" i="29" l="1"/>
  <c r="C38" i="29" s="1"/>
  <c r="H38" i="29" s="1"/>
  <c r="B26" i="29"/>
  <c r="B38" i="29" s="1"/>
  <c r="N2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Newten Dumanoir</author>
  </authors>
  <commentList>
    <comment ref="K14" authorId="0" shapeId="0" xr:uid="{63E59D06-898C-49AF-A29C-EF84A97A9A25}">
      <text>
        <r>
          <rPr>
            <b/>
            <sz val="9"/>
            <color indexed="81"/>
            <rFont val="Tahoma"/>
            <family val="2"/>
          </rPr>
          <t>Newten Dumanoir:</t>
        </r>
        <r>
          <rPr>
            <sz val="9"/>
            <color indexed="81"/>
            <rFont val="Tahoma"/>
            <family val="2"/>
          </rPr>
          <t xml:space="preserve">
La branche reçoit dont la montant est +</t>
        </r>
      </text>
    </comment>
    <comment ref="K15" authorId="0" shapeId="0" xr:uid="{359C4AD4-7550-45A4-AFA3-32B6228ED679}">
      <text>
        <r>
          <rPr>
            <b/>
            <sz val="9"/>
            <color indexed="81"/>
            <rFont val="Tahoma"/>
            <family val="2"/>
          </rPr>
          <t>Newten Dumanoir:</t>
        </r>
        <r>
          <rPr>
            <sz val="9"/>
            <color indexed="81"/>
            <rFont val="Tahoma"/>
            <family val="2"/>
          </rPr>
          <t xml:space="preserve">
La branche reçoit dont la montant est +</t>
        </r>
      </text>
    </comment>
    <comment ref="K16" authorId="0" shapeId="0" xr:uid="{C32DC3DA-E428-4198-9CF3-E35C78622D20}">
      <text>
        <r>
          <rPr>
            <b/>
            <sz val="9"/>
            <color indexed="81"/>
            <rFont val="Tahoma"/>
            <family val="2"/>
          </rPr>
          <t>Newten Dumanoir:</t>
        </r>
        <r>
          <rPr>
            <sz val="9"/>
            <color indexed="81"/>
            <rFont val="Tahoma"/>
            <family val="2"/>
          </rPr>
          <t xml:space="preserve">
La branche verse jusqu'en 2023 , c'est en </t>
        </r>
        <r>
          <rPr>
            <b/>
            <sz val="9"/>
            <color indexed="81"/>
            <rFont val="Tahoma"/>
            <family val="2"/>
          </rPr>
          <t>charges</t>
        </r>
        <r>
          <rPr>
            <sz val="9"/>
            <color indexed="81"/>
            <rFont val="Tahoma"/>
            <family val="2"/>
          </rPr>
          <t xml:space="preserve"> sont on met en négatif &gt; ligne 54du fichier sous P, onglet Vieillesse
A compter de 2024, elle perçoit, donc c'est en positif ; c'est en produits
&gt; ligne 208 du fichier sous P, onglet Vieillesse</t>
        </r>
      </text>
    </comment>
    <comment ref="E21" authorId="0" shapeId="0" xr:uid="{00000000-0006-0000-0100-000001000000}">
      <text>
        <r>
          <rPr>
            <b/>
            <sz val="9"/>
            <color indexed="81"/>
            <rFont val="Tahoma"/>
            <family val="2"/>
          </rPr>
          <t>Newten Dumanoir:</t>
        </r>
        <r>
          <rPr>
            <sz val="9"/>
            <color indexed="81"/>
            <rFont val="Tahoma"/>
            <family val="2"/>
          </rPr>
          <t xml:space="preserve">
Evolution</t>
        </r>
      </text>
    </comment>
    <comment ref="F21" authorId="0" shapeId="0" xr:uid="{00000000-0006-0000-0100-000002000000}">
      <text>
        <r>
          <rPr>
            <b/>
            <sz val="9"/>
            <color indexed="81"/>
            <rFont val="Tahoma"/>
            <family val="2"/>
          </rPr>
          <t>Newten Dumanoir:</t>
        </r>
        <r>
          <rPr>
            <sz val="9"/>
            <color indexed="81"/>
            <rFont val="Tahoma"/>
            <family val="2"/>
          </rPr>
          <t xml:space="preserve">
Rythme annuel moyen</t>
        </r>
      </text>
    </comment>
    <comment ref="G21" authorId="0" shapeId="0" xr:uid="{00000000-0006-0000-0100-000003000000}">
      <text>
        <r>
          <rPr>
            <b/>
            <sz val="9"/>
            <color indexed="81"/>
            <rFont val="Tahoma"/>
            <family val="2"/>
          </rPr>
          <t>Newten Dumanoir:</t>
        </r>
        <r>
          <rPr>
            <sz val="9"/>
            <color indexed="81"/>
            <rFont val="Tahoma"/>
            <family val="2"/>
          </rPr>
          <t xml:space="preserve">
Contribution à l'évolution moyenne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Newten Dumanoir</author>
  </authors>
  <commentList>
    <comment ref="J3" authorId="0" shapeId="0" xr:uid="{B3A8FABD-3087-463C-A0BD-EB5349589300}">
      <text>
        <r>
          <rPr>
            <b/>
            <sz val="9"/>
            <color indexed="81"/>
            <rFont val="Tahoma"/>
            <family val="2"/>
          </rPr>
          <t>Newten Dumanoir:</t>
        </r>
        <r>
          <rPr>
            <sz val="9"/>
            <color indexed="81"/>
            <rFont val="Tahoma"/>
            <family val="2"/>
          </rPr>
          <t xml:space="preserve">
Part des Prestations sociales dans les charges.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Newten Dumanoir</author>
  </authors>
  <commentList>
    <comment ref="B15" authorId="0" shapeId="0" xr:uid="{379256E9-A122-43FC-9D0C-203B39A1B1AA}">
      <text>
        <r>
          <rPr>
            <b/>
            <sz val="9"/>
            <color indexed="81"/>
            <rFont val="Tahoma"/>
            <family val="2"/>
          </rPr>
          <t>Newten Dumanoir:</t>
        </r>
        <r>
          <rPr>
            <sz val="9"/>
            <color indexed="81"/>
            <rFont val="Tahoma"/>
            <family val="2"/>
          </rPr>
          <t xml:space="preserve">
à compter de 2020, la branche vieillesse est déficitaire et perçoit une contribution du RG</t>
        </r>
      </text>
    </comment>
    <comment ref="E32" authorId="0" shapeId="0" xr:uid="{C70007FE-053B-4C61-A0EA-AF3A041DF2FD}">
      <text>
        <r>
          <rPr>
            <b/>
            <sz val="9"/>
            <color indexed="81"/>
            <rFont val="Tahoma"/>
            <family val="2"/>
          </rPr>
          <t>Newten Dumanoir:</t>
        </r>
        <r>
          <rPr>
            <sz val="9"/>
            <color indexed="81"/>
            <rFont val="Tahoma"/>
            <family val="2"/>
          </rPr>
          <t xml:space="preserve">
Absence de données dans fichier sous P</t>
        </r>
      </text>
    </comment>
    <comment ref="F32" authorId="0" shapeId="0" xr:uid="{BE6BFC4F-D963-4DA5-B040-DED292C9CB01}">
      <text>
        <r>
          <rPr>
            <b/>
            <sz val="9"/>
            <color indexed="81"/>
            <rFont val="Tahoma"/>
            <family val="2"/>
          </rPr>
          <t>Newten Dumanoir:</t>
        </r>
        <r>
          <rPr>
            <sz val="9"/>
            <color indexed="81"/>
            <rFont val="Tahoma"/>
            <family val="2"/>
          </rPr>
          <t xml:space="preserve">
Absence de données dans fichier sous P</t>
        </r>
      </text>
    </comment>
    <comment ref="G32" authorId="0" shapeId="0" xr:uid="{A121479C-1D2A-4F93-9037-2D39D037AF68}">
      <text>
        <r>
          <rPr>
            <b/>
            <sz val="9"/>
            <color indexed="81"/>
            <rFont val="Tahoma"/>
            <family val="2"/>
          </rPr>
          <t>Newten Dumanoir:</t>
        </r>
        <r>
          <rPr>
            <sz val="9"/>
            <color indexed="81"/>
            <rFont val="Tahoma"/>
            <family val="2"/>
          </rPr>
          <t xml:space="preserve">
Absence de données dans fichier sous P</t>
        </r>
      </text>
    </comment>
    <comment ref="H32" authorId="0" shapeId="0" xr:uid="{BEF6CA87-4238-49A7-BD21-AFDCD30C64EF}">
      <text>
        <r>
          <rPr>
            <b/>
            <sz val="9"/>
            <color indexed="81"/>
            <rFont val="Tahoma"/>
            <family val="2"/>
          </rPr>
          <t>Newten Dumanoir:</t>
        </r>
        <r>
          <rPr>
            <sz val="9"/>
            <color indexed="81"/>
            <rFont val="Tahoma"/>
            <family val="2"/>
          </rPr>
          <t xml:space="preserve">
Absence de données dans fichier sous P</t>
        </r>
      </text>
    </comment>
    <comment ref="I32" authorId="0" shapeId="0" xr:uid="{676BAF52-B4F1-4AD9-A9B3-CE1006F78BBF}">
      <text>
        <r>
          <rPr>
            <b/>
            <sz val="9"/>
            <color indexed="81"/>
            <rFont val="Tahoma"/>
            <family val="2"/>
          </rPr>
          <t>Newten Dumanoir:</t>
        </r>
        <r>
          <rPr>
            <sz val="9"/>
            <color indexed="81"/>
            <rFont val="Tahoma"/>
            <family val="2"/>
          </rPr>
          <t xml:space="preserve">
Absence de données dans fichier sous P</t>
        </r>
      </text>
    </comment>
  </commentList>
</comments>
</file>

<file path=xl/sharedStrings.xml><?xml version="1.0" encoding="utf-8"?>
<sst xmlns="http://schemas.openxmlformats.org/spreadsheetml/2006/main" count="720" uniqueCount="303">
  <si>
    <t>Evolution</t>
  </si>
  <si>
    <t>Prévisions</t>
  </si>
  <si>
    <t>En millions d'euros</t>
  </si>
  <si>
    <t>Charges maladie</t>
  </si>
  <si>
    <t>Charges vieillesse</t>
  </si>
  <si>
    <t>Charges famille</t>
  </si>
  <si>
    <t xml:space="preserve">Total charges </t>
  </si>
  <si>
    <t>Produits maladie</t>
  </si>
  <si>
    <t>Produits vieillesse</t>
  </si>
  <si>
    <t>Produits famille</t>
  </si>
  <si>
    <t>Total produits</t>
  </si>
  <si>
    <t>SOLDES</t>
  </si>
  <si>
    <t>Prestations maladie</t>
  </si>
  <si>
    <t>Prestations vieillesse</t>
  </si>
  <si>
    <t>Prestations famille</t>
  </si>
  <si>
    <t xml:space="preserve">Total Prestations </t>
  </si>
  <si>
    <t>Cotisations maladie</t>
  </si>
  <si>
    <t>Cotisations vieillesse</t>
  </si>
  <si>
    <t>Cotisations famille</t>
  </si>
  <si>
    <t>Total Cotisations</t>
  </si>
  <si>
    <t>Total charges</t>
  </si>
  <si>
    <t>Poids dans l'ensemble des charges</t>
  </si>
  <si>
    <t>Poids dans l'ensemble des produits</t>
  </si>
  <si>
    <t>Réalisations</t>
  </si>
  <si>
    <t>Tableau 1</t>
  </si>
  <si>
    <t>Tableau 2</t>
  </si>
  <si>
    <t>(montants en millions d’euros)</t>
  </si>
  <si>
    <t>CHARGES</t>
  </si>
  <si>
    <t>PRODUITS</t>
  </si>
  <si>
    <t>Autres charges</t>
  </si>
  <si>
    <t>Autres produits</t>
  </si>
  <si>
    <t>Bénéficiaires - maladie</t>
  </si>
  <si>
    <t>GLOBAL  SALARIES</t>
  </si>
  <si>
    <t>Charges AT</t>
  </si>
  <si>
    <t>Produits AT</t>
  </si>
  <si>
    <t>Prestations AT</t>
  </si>
  <si>
    <t>Cotisations AT</t>
  </si>
  <si>
    <t>GLOBAL SALARIES</t>
  </si>
  <si>
    <t>Régime des SA – Toutes branches</t>
  </si>
  <si>
    <t>RESULTAT NET SA</t>
  </si>
  <si>
    <t>TOTAL CHARGES MAL-MAT-INV-DEC</t>
  </si>
  <si>
    <t>TOTAL CHARGES AT-MP</t>
  </si>
  <si>
    <t>TOTAL CHARGES FAMILLE</t>
  </si>
  <si>
    <t>TOTAL CHARGES RETRAITE</t>
  </si>
  <si>
    <t>TOTAL CHARGES</t>
  </si>
  <si>
    <t>verif</t>
  </si>
  <si>
    <t>TOTAL PRODUITS MAL-MAT-INV-DEC</t>
  </si>
  <si>
    <t>TOTAL PRODUITS AT-MP</t>
  </si>
  <si>
    <t>TOTAL PRODUITS FAMILLE</t>
  </si>
  <si>
    <t>TOTAL PRODUITS RETRAITE</t>
  </si>
  <si>
    <t>TOTAL PRODUITS</t>
  </si>
  <si>
    <t>TOTAL ITAF MAL-MAT-INV-DEC</t>
  </si>
  <si>
    <t>TOTAL ITAF AT-MP</t>
  </si>
  <si>
    <t>TOTAL ITAF FAMILLE</t>
  </si>
  <si>
    <t>TOTAL ITAF RETRAITE</t>
  </si>
  <si>
    <t>TOTAL ITAF</t>
  </si>
  <si>
    <t>TOTAL COMPENSATION MAL-MAT-INV-DEC</t>
  </si>
  <si>
    <t>TOTAL COMPENSATION AT-MP</t>
  </si>
  <si>
    <t>TOTAL COMPENSATION FAMILLE</t>
  </si>
  <si>
    <t>TOTAL COMPENSATION RETRAITE</t>
  </si>
  <si>
    <t>TOTAL COMPENSATION DEMO</t>
  </si>
  <si>
    <t>TOTAL COT PEC ETAT MAL-MAT-INV-DEC</t>
  </si>
  <si>
    <t>TOTAL COT PEC ETAT AT-MP</t>
  </si>
  <si>
    <t>TOTAL COT PEC ETAT FAMILLE</t>
  </si>
  <si>
    <t>TOTAL COT PEC ETAT RETRAITE</t>
  </si>
  <si>
    <t>TOTAL COT PEC</t>
  </si>
  <si>
    <t>TOTAL CSG MAL-MAT-INV-DEC</t>
  </si>
  <si>
    <t>TOTAL CSG AT-MP</t>
  </si>
  <si>
    <t>TOTAL CSG FAMILLE</t>
  </si>
  <si>
    <t>TOTAL CSG RETRAITE</t>
  </si>
  <si>
    <t>TOTAL CSG</t>
  </si>
  <si>
    <t>Charges</t>
  </si>
  <si>
    <t>Dont prestations légales</t>
  </si>
  <si>
    <t>Produit</t>
  </si>
  <si>
    <t>Dont cotisations sociales</t>
  </si>
  <si>
    <t>Dont compensation démographique</t>
  </si>
  <si>
    <t>Dont contribution généralisée</t>
  </si>
  <si>
    <t>Dont impôts et taxes affectées</t>
  </si>
  <si>
    <t>Charges ATEXA</t>
  </si>
  <si>
    <t>Produits ATEXA</t>
  </si>
  <si>
    <t>PRESTATIONS SOCIALES (yc  prest extra,...)</t>
  </si>
  <si>
    <t>Prestations sociales</t>
  </si>
  <si>
    <t>"Maladie-Maternité-Invalidité-Décès"</t>
  </si>
  <si>
    <t>Prestations sociales "AT-MP"</t>
  </si>
  <si>
    <t>Prestations sociales "Famille"</t>
  </si>
  <si>
    <t>Prestations sociales "Vieillesse-Veuvage"</t>
  </si>
  <si>
    <t>CHARGES TECHNIQUES DIVERSES</t>
  </si>
  <si>
    <t>TOTAL CHARGES TECHNIQUES + DIVERSES</t>
  </si>
  <si>
    <t>CHARGES FINANCIERES</t>
  </si>
  <si>
    <t>CHARGES EXCEPTIONNELLES</t>
  </si>
  <si>
    <t>DOTATIONS AUX PROVISIONS</t>
  </si>
  <si>
    <t>CHARGES DE GESTION COURANTE</t>
  </si>
  <si>
    <t>TOTAL DES CHARGES</t>
  </si>
  <si>
    <t>Total</t>
  </si>
  <si>
    <t>Contribution à la croissance</t>
  </si>
  <si>
    <t>REGIME DES SA - TOUTES BRANCHES 
(en million d'euros)</t>
  </si>
  <si>
    <t>Bénéficiaires de pensions d'invalidité</t>
  </si>
  <si>
    <t>VERIF</t>
  </si>
  <si>
    <t>maladie</t>
  </si>
  <si>
    <t>famille</t>
  </si>
  <si>
    <t>retraite</t>
  </si>
  <si>
    <t>Evolution par branche</t>
  </si>
  <si>
    <t>AT</t>
  </si>
  <si>
    <t>Solde par branche</t>
  </si>
  <si>
    <t>Rythme annuel moyen</t>
  </si>
  <si>
    <t>Contribution à la croissance des charges SA</t>
  </si>
  <si>
    <t>Solde maladie</t>
  </si>
  <si>
    <t>Solde AT</t>
  </si>
  <si>
    <t>Solde famille</t>
  </si>
  <si>
    <t>Solde vieillesse</t>
  </si>
  <si>
    <t>Effectifs en moyenne annuelle sauf pour :</t>
  </si>
  <si>
    <t>Les invalides, les actifs cotisants et les familles bénéficiaires</t>
  </si>
  <si>
    <t>Familles bénéficiaires de prestations familiales dans l'année</t>
  </si>
  <si>
    <t>- Personnes protégées en maladie et bénéficiaires d’un avantage retraite : dénombrement en moyenne annuelle </t>
  </si>
  <si>
    <t>- Familles bénéficiaires : dénombrement annuel </t>
  </si>
  <si>
    <t>- Bénéficiaires de pensions d’invalidité : dénombrement au 31 décembre </t>
  </si>
  <si>
    <r>
      <t>- Actifs cotisants vieillesse : dénombrement au  1</t>
    </r>
    <r>
      <rPr>
        <vertAlign val="superscript"/>
        <sz val="8"/>
        <rFont val="Arial"/>
        <family val="2"/>
      </rPr>
      <t>er</t>
    </r>
    <r>
      <rPr>
        <sz val="8"/>
        <rFont val="Arial"/>
        <family val="2"/>
      </rPr>
      <t xml:space="preserve"> juillet  </t>
    </r>
  </si>
  <si>
    <t>VERIF CHARGE</t>
  </si>
  <si>
    <t>MALADIE</t>
  </si>
  <si>
    <t>FAMILLE</t>
  </si>
  <si>
    <t>TOTAL</t>
  </si>
  <si>
    <t>Actifs cotisants vieillesse au 1er juillet</t>
  </si>
  <si>
    <t>&lt;= MAJ avec fichiers sous P</t>
  </si>
  <si>
    <t>TOTAL REPRISES SUR PROV AT-MP</t>
  </si>
  <si>
    <t>TOTAL REPRISES SUR PROV FAMILLE</t>
  </si>
  <si>
    <t>TOTAL REPRISES SUR PROV RETRAITE</t>
  </si>
  <si>
    <t>TOTAL REPRISES SUR PROV</t>
  </si>
  <si>
    <t>TOTAL REPRISES SUR PROV MAL-MAT-INV-DEC</t>
  </si>
  <si>
    <t>Contribution à l'évolution par branche</t>
  </si>
  <si>
    <t>Dont reprises sur provisions</t>
  </si>
  <si>
    <t>Contribution selon la branche à l’évolution du montant total des dépenses SA</t>
  </si>
  <si>
    <t>Contribution selon la branche à l’évolution du montant total des recettes SA</t>
  </si>
  <si>
    <t>Contribution de chaque branche à l’évolution du montant total des prestations SA</t>
  </si>
  <si>
    <t>Contribution de chaque branche à l’évolution du montant total des cotisations sociales SA</t>
  </si>
  <si>
    <t>(après transferts)</t>
  </si>
  <si>
    <t>Dont cotisations prises en charge par l'Etat</t>
  </si>
  <si>
    <t>TOTAL ALLEG GENERAUX MAL-MAT-INV-DEC</t>
  </si>
  <si>
    <t>TOTAL ALLEG GENERAUX AT-MP</t>
  </si>
  <si>
    <t>TOTAL ALLEG GENERAUX FAMILLE</t>
  </si>
  <si>
    <t>TOTAL ALLEG GENERAUX RETRAITE</t>
  </si>
  <si>
    <t>TOTAL ALLEG GENERAUX</t>
  </si>
  <si>
    <t>Transferts d’équilibrage des soldes venant du Régime Général (RG)
(en millions d’euros</t>
  </si>
  <si>
    <t>Maladie</t>
  </si>
  <si>
    <t>Famille</t>
  </si>
  <si>
    <t xml:space="preserve">TOTAL INTEGRATION RG </t>
  </si>
  <si>
    <t>Retraite</t>
  </si>
  <si>
    <t>REGIME DES SA - TOUTES BRANCHES 
(évolution)</t>
  </si>
  <si>
    <t>2022/2021</t>
  </si>
  <si>
    <t>Bénéficiaires de pensions vieillesse</t>
  </si>
  <si>
    <t>Réalisation 2022</t>
  </si>
  <si>
    <t xml:space="preserve">VIEILLESSE </t>
  </si>
  <si>
    <t>2023/2022</t>
  </si>
  <si>
    <t>Total dépenses</t>
  </si>
  <si>
    <t>PRESTATIONS légales</t>
  </si>
  <si>
    <t>CHARGES TECHNIQUES</t>
  </si>
  <si>
    <t>prestations légales</t>
  </si>
  <si>
    <t>PL</t>
  </si>
  <si>
    <t>Graphique 2</t>
  </si>
  <si>
    <t>Graphique 3</t>
  </si>
  <si>
    <t>Tableau 4</t>
  </si>
  <si>
    <t>Graphique 4</t>
  </si>
  <si>
    <t>Graphique 5</t>
  </si>
  <si>
    <t>Tableau 6</t>
  </si>
  <si>
    <t>Contriution ev moy</t>
  </si>
  <si>
    <t>Graphique 6</t>
  </si>
  <si>
    <t>Graphique 7</t>
  </si>
  <si>
    <t>Tableau 8</t>
  </si>
  <si>
    <t>Graphique 9</t>
  </si>
  <si>
    <t>Tableau 9</t>
  </si>
  <si>
    <t>2024(p)</t>
  </si>
  <si>
    <t>2024/2023</t>
  </si>
  <si>
    <t>Tableau 5</t>
  </si>
  <si>
    <t>Tableau 7</t>
  </si>
  <si>
    <t>PRESTATIONS sociales</t>
  </si>
  <si>
    <t>Graphique 1</t>
  </si>
  <si>
    <t xml:space="preserve">Cotisations - Evolution du nombre d’heures de travail par secteur </t>
  </si>
  <si>
    <t>Heures de travail
(en milliers d'heures)</t>
  </si>
  <si>
    <t>Réalisation</t>
  </si>
  <si>
    <t>Production agricole</t>
  </si>
  <si>
    <t>Cdi</t>
  </si>
  <si>
    <t>SOUS TOTAL</t>
  </si>
  <si>
    <t>Transformation</t>
  </si>
  <si>
    <t>Cdd</t>
  </si>
  <si>
    <t>Tertiaire</t>
  </si>
  <si>
    <t>Activités diverses</t>
  </si>
  <si>
    <t>TOTAL HEURES DE TRAVAIL</t>
  </si>
  <si>
    <t xml:space="preserve">Heures de travail </t>
  </si>
  <si>
    <t xml:space="preserve">Rythme annuel moyen </t>
  </si>
  <si>
    <t>Contribution moyenne</t>
  </si>
  <si>
    <t>(en milliers d’heures)</t>
  </si>
  <si>
    <t>Evol 2022</t>
  </si>
  <si>
    <t>Evol 2023</t>
  </si>
  <si>
    <t>Evol 2024</t>
  </si>
  <si>
    <t xml:space="preserve">Cotisations - Evolution du salaire horaire moyen </t>
  </si>
  <si>
    <t>Salaire horaire moyen
(en €)</t>
  </si>
  <si>
    <t>SALAIRE HORAIRE MOYEN</t>
  </si>
  <si>
    <t>Salaire horaire moyen</t>
  </si>
  <si>
    <t>(en €)</t>
  </si>
  <si>
    <t>TOTAL SALAIRE HORAIRE MOYEN</t>
  </si>
  <si>
    <t xml:space="preserve">Cotisations - Evolution de l’assiette des salaires </t>
  </si>
  <si>
    <t>Masse salariale
(en milliers d’euros)</t>
  </si>
  <si>
    <t>TOTAL MASSE SALARIALE</t>
  </si>
  <si>
    <t>Masse salariale</t>
  </si>
  <si>
    <t>(en milliers d'euros)</t>
  </si>
  <si>
    <t>Effectifs</t>
  </si>
  <si>
    <t>TCDC SA (Charges)</t>
  </si>
  <si>
    <t>CHARGES_PRODUITS</t>
  </si>
  <si>
    <t>Prest._cotisa.</t>
  </si>
  <si>
    <t>Tableau 3</t>
  </si>
  <si>
    <t>Résultat Net</t>
  </si>
  <si>
    <t>Soldes</t>
  </si>
  <si>
    <t>Graphique 10</t>
  </si>
  <si>
    <t>2025/2024</t>
  </si>
  <si>
    <t>2025(p)</t>
  </si>
  <si>
    <t>dont CDD</t>
  </si>
  <si>
    <t>dont CDI</t>
  </si>
  <si>
    <t>Evol 2025</t>
  </si>
  <si>
    <t>CDD</t>
  </si>
  <si>
    <t>Prestation légales</t>
  </si>
  <si>
    <t>Montants</t>
  </si>
  <si>
    <t>Part</t>
  </si>
  <si>
    <t>Contribution à évol. moyenne</t>
  </si>
  <si>
    <t>Maladie - Intégration CNAMTS</t>
  </si>
  <si>
    <t>Retraite - Intégration CNAV</t>
  </si>
  <si>
    <t>Famille - Intégration Cnaf</t>
  </si>
  <si>
    <t>Total intégration RG</t>
  </si>
  <si>
    <t>TableauxNote</t>
  </si>
  <si>
    <t>2026/2025</t>
  </si>
  <si>
    <t>2026(p)</t>
  </si>
  <si>
    <t>Evol 2026</t>
  </si>
  <si>
    <t>Prestations sociales SAPSA</t>
  </si>
  <si>
    <t>Charges SASPA</t>
  </si>
  <si>
    <t>Produits SASPA</t>
  </si>
  <si>
    <t>Prestations SASPA</t>
  </si>
  <si>
    <t>Cotsations SASPA</t>
  </si>
  <si>
    <t>Solde SASPA</t>
  </si>
  <si>
    <t>TOTAL CJARGES SASPA</t>
  </si>
  <si>
    <t>TOTAL PRODUITS SASPA</t>
  </si>
  <si>
    <t>TOTAL ITAF SASPA</t>
  </si>
  <si>
    <t>TOTAL COMPENSATION  SASPA</t>
  </si>
  <si>
    <t>TOTAL CDG SASPA</t>
  </si>
  <si>
    <t>TOTAL REPRISES SUR PROV SASPA</t>
  </si>
  <si>
    <t>TOTAL ALLEG GENERAUX SASPA</t>
  </si>
  <si>
    <t>SASPA</t>
  </si>
  <si>
    <t>ProduitsSASPA</t>
  </si>
  <si>
    <t>Cotisations SASPA</t>
  </si>
  <si>
    <t>SASPA - Intégration Cnav</t>
  </si>
  <si>
    <t>Graphique</t>
  </si>
  <si>
    <t>Proportions</t>
  </si>
  <si>
    <t>Evolutions</t>
  </si>
  <si>
    <t>Graphique 8</t>
  </si>
  <si>
    <t>Dont prestations sociales</t>
  </si>
  <si>
    <t>2027/2026</t>
  </si>
  <si>
    <t>2027(p)</t>
  </si>
  <si>
    <t>Cotisations AT (Hors prise en charge)</t>
  </si>
  <si>
    <t>Prévision 2024</t>
  </si>
  <si>
    <t>Prévision 2025</t>
  </si>
  <si>
    <t>Prévision 2026</t>
  </si>
  <si>
    <t>Prévision 2027</t>
  </si>
  <si>
    <t>Prestations sociales "SASPA"</t>
  </si>
  <si>
    <t>Evol 2027</t>
  </si>
  <si>
    <t>Tode</t>
  </si>
  <si>
    <t xml:space="preserve">Cdd </t>
  </si>
  <si>
    <t xml:space="preserve">Cdd  </t>
  </si>
  <si>
    <t>Moyenne</t>
  </si>
  <si>
    <t>graphique 8</t>
  </si>
  <si>
    <t>Montant transfert (contribution RG)</t>
  </si>
  <si>
    <t>Contribution du RG</t>
  </si>
  <si>
    <t>Evol 2028</t>
  </si>
  <si>
    <t>Rythme annuel moyen 2024 -2028</t>
  </si>
  <si>
    <t>2028/2027</t>
  </si>
  <si>
    <t>2028(p)</t>
  </si>
  <si>
    <t>Réalisation 2023</t>
  </si>
  <si>
    <t>Prévision 2028</t>
  </si>
  <si>
    <t>Prévision des montants de dépenses totales et de prestations du régime des salariés agricoles de 2024 à 2028</t>
  </si>
  <si>
    <t>Prévision des montants de recettes totales et de cotisations sociales du régime des salariés agricoles de 2024 à 2028</t>
  </si>
  <si>
    <t>Prestations sociales "SAPSA"</t>
  </si>
  <si>
    <t>Prévisions de résultat net par branche de 2023 à 2028</t>
  </si>
  <si>
    <t>Prévision des montants de dépenses totales et de prestations du régime des salariés agricoles de 2023 à 2028</t>
  </si>
  <si>
    <t>Onglet</t>
  </si>
  <si>
    <t>Contribution annuelle moyenne</t>
  </si>
  <si>
    <r>
      <t>CHARG</t>
    </r>
    <r>
      <rPr>
        <b/>
        <sz val="9"/>
        <color theme="1"/>
        <rFont val="Arial"/>
        <family val="2"/>
      </rPr>
      <t>ES TECHNIQUES (yc versements RG</t>
    </r>
    <r>
      <rPr>
        <b/>
        <sz val="9"/>
        <rFont val="Arial"/>
        <family val="2"/>
      </rPr>
      <t>)</t>
    </r>
  </si>
  <si>
    <t>REGIME DES SA - TOUTES BRANCHES - RETRAITE
(en million d'euros)</t>
  </si>
  <si>
    <t>Prévision des montants de recettes totales et de cotisations sociales du régime des salariés agricoles de 2023 à 2028</t>
  </si>
  <si>
    <t>Total produits (yc contrib RG)</t>
  </si>
  <si>
    <t>Index</t>
  </si>
  <si>
    <t xml:space="preserve">Index </t>
  </si>
  <si>
    <t>Prévisions démographiques et financières</t>
  </si>
  <si>
    <t>du régime des salariés agricoles</t>
  </si>
  <si>
    <t xml:space="preserve"> </t>
  </si>
  <si>
    <t>Direction des Statistiques, des Etudes et des Fonds</t>
  </si>
  <si>
    <r>
      <t>Directrice de la publication</t>
    </r>
    <r>
      <rPr>
        <b/>
        <sz val="10"/>
        <color indexed="8"/>
        <rFont val="Arial"/>
        <family val="2"/>
      </rPr>
      <t xml:space="preserve"> </t>
    </r>
    <r>
      <rPr>
        <sz val="10"/>
        <color indexed="8"/>
        <rFont val="Arial"/>
        <family val="2"/>
      </rPr>
      <t>: Nadia JOUBERT</t>
    </r>
  </si>
  <si>
    <t>joubert.nadia@ccmsa.msa.fr</t>
  </si>
  <si>
    <t>Département Synthèse</t>
  </si>
  <si>
    <t>Responsable : David FOUCAUD</t>
  </si>
  <si>
    <t>foucaud.david@ccmsa.msa.fr</t>
  </si>
  <si>
    <t>Service Financement et gestion du risque</t>
  </si>
  <si>
    <t>Yannick SEVESTRE</t>
  </si>
  <si>
    <t>sevestre.yannick@ccmsa.msa.fr</t>
  </si>
  <si>
    <t>Auteure : Newten DUMANOIR</t>
  </si>
  <si>
    <t>dumanoir.newten@ccmsa.msa.fr</t>
  </si>
  <si>
    <t>Février 2025</t>
  </si>
  <si>
    <t>Période 2024 - 2028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</si>
</sst>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_-;\-* #,##0.00\ _€_-;_-* &quot;-&quot;??\ _€_-;_-@_-"/>
    <numFmt numFmtId="165" formatCode="#,##0.0"/>
    <numFmt numFmtId="166" formatCode="0.0%"/>
    <numFmt numFmtId="167" formatCode="#,##0.000"/>
    <numFmt numFmtId="168" formatCode="0.0"/>
    <numFmt numFmtId="169" formatCode="\+0.0%;\-0.0%;General"/>
    <numFmt numFmtId="170" formatCode="#,##0.0_ ;\-#,##0.0\ "/>
    <numFmt numFmtId="171" formatCode="\+0.0%;\-0.0%"/>
    <numFmt numFmtId="172" formatCode="_-* #,##0\ _€_-;\-* #,##0\ _€_-;_-* &quot;-&quot;??\ _€_-;_-@_-"/>
    <numFmt numFmtId="173" formatCode="\+0.0;\-0.0"/>
    <numFmt numFmtId="174" formatCode="_-* #,##0.0\ _€_-;\-* #,##0.0\ _€_-;_-* &quot;-&quot;??\ _€_-;_-@_-"/>
    <numFmt numFmtId="175" formatCode="0.0_ ;\-0.0\ "/>
  </numFmts>
  <fonts count="111" x14ac:knownFonts="1">
    <font>
      <sz val="10"/>
      <name val="Arial"/>
    </font>
    <font>
      <sz val="10"/>
      <name val="Arial"/>
      <family val="2"/>
    </font>
    <font>
      <sz val="11"/>
      <name val="Arial"/>
      <family val="2"/>
    </font>
    <font>
      <sz val="10"/>
      <name val="Arial"/>
      <family val="2"/>
    </font>
    <font>
      <sz val="8"/>
      <name val="Arial"/>
      <family val="2"/>
    </font>
    <font>
      <b/>
      <sz val="11"/>
      <name val="Arial"/>
      <family val="2"/>
    </font>
    <font>
      <i/>
      <sz val="10"/>
      <name val="Arial"/>
      <family val="2"/>
    </font>
    <font>
      <u/>
      <sz val="10"/>
      <name val="Arial"/>
      <family val="2"/>
    </font>
    <font>
      <b/>
      <sz val="10"/>
      <name val="Arial"/>
      <family val="2"/>
    </font>
    <font>
      <b/>
      <sz val="9"/>
      <name val="Arial"/>
      <family val="2"/>
    </font>
    <font>
      <sz val="9"/>
      <name val="Arial"/>
      <family val="2"/>
    </font>
    <font>
      <b/>
      <i/>
      <sz val="9"/>
      <name val="Arial"/>
      <family val="2"/>
    </font>
    <font>
      <sz val="8"/>
      <name val="Arial"/>
      <family val="2"/>
    </font>
    <font>
      <sz val="9"/>
      <name val="Arial"/>
      <family val="2"/>
    </font>
    <font>
      <sz val="10"/>
      <color indexed="10"/>
      <name val="Arial"/>
      <family val="2"/>
    </font>
    <font>
      <b/>
      <sz val="10"/>
      <color indexed="10"/>
      <name val="Arial"/>
      <family val="2"/>
    </font>
    <font>
      <b/>
      <i/>
      <sz val="8"/>
      <color indexed="10"/>
      <name val="Arial"/>
      <family val="2"/>
    </font>
    <font>
      <b/>
      <i/>
      <sz val="8"/>
      <name val="Arial"/>
      <family val="2"/>
    </font>
    <font>
      <sz val="10"/>
      <color indexed="17"/>
      <name val="Arial"/>
      <family val="2"/>
    </font>
    <font>
      <b/>
      <sz val="10"/>
      <color indexed="17"/>
      <name val="Arial"/>
      <family val="2"/>
    </font>
    <font>
      <sz val="10"/>
      <color indexed="12"/>
      <name val="Arial"/>
      <family val="2"/>
    </font>
    <font>
      <b/>
      <sz val="10"/>
      <color indexed="12"/>
      <name val="Arial"/>
      <family val="2"/>
    </font>
    <font>
      <sz val="10"/>
      <color indexed="14"/>
      <name val="Arial"/>
      <family val="2"/>
    </font>
    <font>
      <b/>
      <sz val="10"/>
      <color indexed="14"/>
      <name val="Arial"/>
      <family val="2"/>
    </font>
    <font>
      <sz val="10"/>
      <color indexed="53"/>
      <name val="Arial"/>
      <family val="2"/>
    </font>
    <font>
      <b/>
      <sz val="10"/>
      <color indexed="53"/>
      <name val="Arial"/>
      <family val="2"/>
    </font>
    <font>
      <i/>
      <sz val="8"/>
      <name val="Arial"/>
      <family val="2"/>
    </font>
    <font>
      <b/>
      <sz val="8"/>
      <name val="Arial"/>
      <family val="2"/>
    </font>
    <font>
      <sz val="10"/>
      <color rgb="FFFF0000"/>
      <name val="Arial"/>
      <family val="2"/>
    </font>
    <font>
      <sz val="11"/>
      <color rgb="FFFF0000"/>
      <name val="Arial"/>
      <family val="2"/>
    </font>
    <font>
      <b/>
      <sz val="9"/>
      <color rgb="FF0070C0"/>
      <name val="Arial"/>
      <family val="2"/>
    </font>
    <font>
      <sz val="10"/>
      <color rgb="FF0070C0"/>
      <name val="Arial"/>
      <family val="2"/>
    </font>
    <font>
      <sz val="9"/>
      <color rgb="FF0070C0"/>
      <name val="Arial"/>
      <family val="2"/>
    </font>
    <font>
      <b/>
      <sz val="10"/>
      <color rgb="FFCC0099"/>
      <name val="Arial"/>
      <family val="2"/>
    </font>
    <font>
      <b/>
      <sz val="8"/>
      <color rgb="FFCC0099"/>
      <name val="Arial"/>
      <family val="2"/>
    </font>
    <font>
      <i/>
      <sz val="8"/>
      <color rgb="FFCC0099"/>
      <name val="Arial"/>
      <family val="2"/>
    </font>
    <font>
      <vertAlign val="superscript"/>
      <sz val="8"/>
      <name val="Arial"/>
      <family val="2"/>
    </font>
    <font>
      <sz val="10"/>
      <color rgb="FFD60093"/>
      <name val="Arial"/>
      <family val="2"/>
    </font>
    <font>
      <b/>
      <sz val="10"/>
      <color rgb="FFD60093"/>
      <name val="Arial"/>
      <family val="2"/>
    </font>
    <font>
      <b/>
      <u/>
      <sz val="9"/>
      <color rgb="FF365F91"/>
      <name val="Arial"/>
      <family val="2"/>
    </font>
    <font>
      <u/>
      <sz val="9"/>
      <color rgb="FF376092"/>
      <name val="Arial"/>
      <family val="2"/>
    </font>
    <font>
      <b/>
      <sz val="8"/>
      <color theme="4" tint="-0.249977111117893"/>
      <name val="Arial"/>
      <family val="2"/>
    </font>
    <font>
      <b/>
      <sz val="10"/>
      <color rgb="FF92D050"/>
      <name val="Arial"/>
      <family val="2"/>
    </font>
    <font>
      <sz val="10"/>
      <color theme="7"/>
      <name val="Arial"/>
      <family val="2"/>
    </font>
    <font>
      <b/>
      <sz val="10"/>
      <color theme="0"/>
      <name val="Arial"/>
      <family val="2"/>
    </font>
    <font>
      <sz val="10"/>
      <color rgb="FF00B050"/>
      <name val="Arial"/>
      <family val="2"/>
    </font>
    <font>
      <sz val="11"/>
      <color rgb="FF00B050"/>
      <name val="Arial"/>
      <family val="2"/>
    </font>
    <font>
      <sz val="9"/>
      <color indexed="81"/>
      <name val="Tahoma"/>
      <family val="2"/>
    </font>
    <font>
      <b/>
      <sz val="9"/>
      <color indexed="81"/>
      <name val="Tahoma"/>
      <family val="2"/>
    </font>
    <font>
      <sz val="10"/>
      <name val="Arial"/>
      <family val="2"/>
    </font>
    <font>
      <b/>
      <u/>
      <sz val="10"/>
      <color rgb="FF365F91"/>
      <name val="Arial"/>
      <family val="2"/>
    </font>
    <font>
      <b/>
      <u/>
      <sz val="8"/>
      <color rgb="FF365F91"/>
      <name val="Arial"/>
      <family val="2"/>
    </font>
    <font>
      <b/>
      <sz val="8"/>
      <color theme="0" tint="-0.14999847407452621"/>
      <name val="Arial"/>
      <family val="2"/>
    </font>
    <font>
      <b/>
      <sz val="9"/>
      <color theme="0"/>
      <name val="Calibri"/>
      <family val="2"/>
      <scheme val="minor"/>
    </font>
    <font>
      <sz val="10"/>
      <color theme="0"/>
      <name val="Calibri"/>
      <family val="2"/>
      <scheme val="minor"/>
    </font>
    <font>
      <sz val="9"/>
      <color theme="0"/>
      <name val="Calibri"/>
      <family val="2"/>
      <scheme val="minor"/>
    </font>
    <font>
      <sz val="9"/>
      <name val="Calibri"/>
      <family val="2"/>
      <scheme val="minor"/>
    </font>
    <font>
      <sz val="9"/>
      <color rgb="FF000000"/>
      <name val="Calibri"/>
      <family val="2"/>
      <scheme val="minor"/>
    </font>
    <font>
      <sz val="10"/>
      <name val="Calibri"/>
      <family val="2"/>
      <scheme val="minor"/>
    </font>
    <font>
      <b/>
      <i/>
      <sz val="9"/>
      <name val="Calibri"/>
      <family val="2"/>
      <scheme val="minor"/>
    </font>
    <font>
      <b/>
      <i/>
      <sz val="9"/>
      <color rgb="FF000000"/>
      <name val="Calibri"/>
      <family val="2"/>
      <scheme val="minor"/>
    </font>
    <font>
      <b/>
      <sz val="9"/>
      <name val="Calibri"/>
      <family val="2"/>
      <scheme val="minor"/>
    </font>
    <font>
      <b/>
      <sz val="10"/>
      <name val="Calibri"/>
      <family val="2"/>
      <scheme val="minor"/>
    </font>
    <font>
      <sz val="9"/>
      <color rgb="FF000000"/>
      <name val="Arial"/>
      <family val="2"/>
    </font>
    <font>
      <b/>
      <i/>
      <sz val="9"/>
      <color rgb="FF000000"/>
      <name val="Arial"/>
      <family val="2"/>
    </font>
    <font>
      <b/>
      <sz val="9"/>
      <color rgb="FF000000"/>
      <name val="Arial"/>
      <family val="2"/>
    </font>
    <font>
      <sz val="9"/>
      <color rgb="FFFF0000"/>
      <name val="Arial"/>
      <family val="2"/>
    </font>
    <font>
      <b/>
      <sz val="9"/>
      <color rgb="FF000000"/>
      <name val="Calibri"/>
      <family val="2"/>
      <scheme val="minor"/>
    </font>
    <font>
      <sz val="10"/>
      <color theme="0"/>
      <name val="Arial"/>
      <family val="2"/>
    </font>
    <font>
      <sz val="11"/>
      <color theme="0"/>
      <name val="Arial"/>
      <family val="2"/>
    </font>
    <font>
      <i/>
      <sz val="10"/>
      <color theme="0"/>
      <name val="Arial"/>
      <family val="2"/>
    </font>
    <font>
      <b/>
      <i/>
      <sz val="10"/>
      <color rgb="FF00B050"/>
      <name val="Arial"/>
      <family val="2"/>
    </font>
    <font>
      <b/>
      <sz val="9"/>
      <color rgb="FFFF0000"/>
      <name val="Arial"/>
      <family val="2"/>
    </font>
    <font>
      <b/>
      <i/>
      <sz val="10"/>
      <color theme="0"/>
      <name val="Arial"/>
      <family val="2"/>
    </font>
    <font>
      <sz val="10"/>
      <color theme="3"/>
      <name val="Arial"/>
      <family val="2"/>
    </font>
    <font>
      <sz val="8"/>
      <color theme="0"/>
      <name val="Arial"/>
      <family val="2"/>
    </font>
    <font>
      <b/>
      <sz val="11"/>
      <color theme="0"/>
      <name val="Arial"/>
      <family val="2"/>
    </font>
    <font>
      <b/>
      <sz val="9"/>
      <color theme="0"/>
      <name val="Arial"/>
      <family val="2"/>
    </font>
    <font>
      <sz val="8"/>
      <color theme="1"/>
      <name val="Arial"/>
      <family val="2"/>
    </font>
    <font>
      <b/>
      <sz val="10"/>
      <color theme="1"/>
      <name val="Arial"/>
      <family val="2"/>
    </font>
    <font>
      <b/>
      <u/>
      <sz val="11"/>
      <name val="Arial"/>
      <family val="2"/>
    </font>
    <font>
      <b/>
      <sz val="8"/>
      <color theme="1"/>
      <name val="Arial"/>
      <family val="2"/>
    </font>
    <font>
      <sz val="10"/>
      <color theme="1"/>
      <name val="Arial"/>
      <family val="2"/>
    </font>
    <font>
      <sz val="9"/>
      <color theme="1"/>
      <name val="Arial"/>
      <family val="2"/>
    </font>
    <font>
      <b/>
      <sz val="9"/>
      <color theme="1"/>
      <name val="Arial"/>
      <family val="2"/>
    </font>
    <font>
      <sz val="9"/>
      <color theme="0"/>
      <name val="Arial"/>
      <family val="2"/>
    </font>
    <font>
      <b/>
      <i/>
      <sz val="9"/>
      <color theme="1"/>
      <name val="Arial"/>
      <family val="2"/>
    </font>
    <font>
      <b/>
      <i/>
      <sz val="8"/>
      <color theme="1"/>
      <name val="Arial"/>
      <family val="2"/>
    </font>
    <font>
      <i/>
      <sz val="8"/>
      <color theme="1"/>
      <name val="Arial"/>
      <family val="2"/>
    </font>
    <font>
      <sz val="9"/>
      <color theme="1"/>
      <name val="Calibri"/>
      <family val="2"/>
      <scheme val="minor"/>
    </font>
    <font>
      <b/>
      <i/>
      <sz val="9"/>
      <color theme="1"/>
      <name val="Calibri"/>
      <family val="2"/>
      <scheme val="minor"/>
    </font>
    <font>
      <b/>
      <sz val="10"/>
      <color theme="1"/>
      <name val="Calibri"/>
      <family val="2"/>
      <scheme val="minor"/>
    </font>
    <font>
      <i/>
      <sz val="11"/>
      <color theme="7" tint="0.79998168889431442"/>
      <name val="Arial"/>
      <family val="2"/>
    </font>
    <font>
      <sz val="8"/>
      <color theme="7" tint="0.79998168889431442"/>
      <name val="Arial"/>
      <family val="2"/>
    </font>
    <font>
      <sz val="11"/>
      <color theme="0" tint="-0.14999847407452621"/>
      <name val="Arial"/>
      <family val="2"/>
    </font>
    <font>
      <sz val="11"/>
      <color theme="0" tint="-4.9989318521683403E-2"/>
      <name val="Arial"/>
      <family val="2"/>
    </font>
    <font>
      <b/>
      <i/>
      <sz val="8"/>
      <color theme="0" tint="-0.14999847407452621"/>
      <name val="Arial"/>
      <family val="2"/>
    </font>
    <font>
      <i/>
      <sz val="10"/>
      <color theme="1"/>
      <name val="Arial"/>
      <family val="2"/>
    </font>
    <font>
      <i/>
      <sz val="8"/>
      <color theme="0"/>
      <name val="Arial"/>
      <family val="2"/>
    </font>
    <font>
      <i/>
      <sz val="8"/>
      <color theme="8" tint="-0.249977111117893"/>
      <name val="Arial"/>
      <family val="2"/>
    </font>
    <font>
      <b/>
      <i/>
      <sz val="8"/>
      <color theme="8" tint="-0.249977111117893"/>
      <name val="Arial"/>
      <family val="2"/>
    </font>
    <font>
      <sz val="10"/>
      <color theme="0" tint="-0.14999847407452621"/>
      <name val="Arial"/>
      <family val="2"/>
    </font>
    <font>
      <b/>
      <sz val="10"/>
      <color theme="0" tint="-0.14999847407452621"/>
      <name val="Arial"/>
      <family val="2"/>
    </font>
    <font>
      <b/>
      <i/>
      <sz val="10"/>
      <color theme="8" tint="-0.249977111117893"/>
      <name val="Arial"/>
      <family val="2"/>
    </font>
    <font>
      <u/>
      <sz val="10"/>
      <color theme="10"/>
      <name val="Arial"/>
      <family val="2"/>
    </font>
    <font>
      <b/>
      <sz val="12"/>
      <color rgb="FF0070C0"/>
      <name val="Arial"/>
      <family val="2"/>
    </font>
    <font>
      <b/>
      <sz val="20"/>
      <color rgb="FF0070C0"/>
      <name val="Calibri"/>
      <family val="2"/>
    </font>
    <font>
      <b/>
      <sz val="16"/>
      <color rgb="FF0070C0"/>
      <name val="Calibri"/>
      <family val="2"/>
    </font>
    <font>
      <sz val="10"/>
      <color rgb="FF000000"/>
      <name val="Arial"/>
      <family val="2"/>
    </font>
    <font>
      <b/>
      <sz val="10"/>
      <color indexed="8"/>
      <name val="Arial"/>
      <family val="2"/>
    </font>
    <font>
      <sz val="10"/>
      <color indexed="8"/>
      <name val="Arial"/>
      <family val="2"/>
    </font>
  </fonts>
  <fills count="21">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4"/>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1"/>
        <bgColor indexed="64"/>
      </patternFill>
    </fill>
    <fill>
      <patternFill patternType="solid">
        <fgColor theme="3"/>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bgColor indexed="64"/>
      </patternFill>
    </fill>
    <fill>
      <patternFill patternType="solid">
        <fgColor rgb="FF002060"/>
        <bgColor indexed="64"/>
      </patternFill>
    </fill>
    <fill>
      <patternFill patternType="solid">
        <fgColor theme="8" tint="-0.499984740745262"/>
        <bgColor indexed="64"/>
      </patternFill>
    </fill>
  </fills>
  <borders count="136">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medium">
        <color indexed="62"/>
      </left>
      <right style="medium">
        <color indexed="62"/>
      </right>
      <top style="medium">
        <color indexed="62"/>
      </top>
      <bottom/>
      <diagonal/>
    </border>
    <border>
      <left style="medium">
        <color indexed="62"/>
      </left>
      <right style="medium">
        <color indexed="62"/>
      </right>
      <top/>
      <bottom style="medium">
        <color indexed="62"/>
      </bottom>
      <diagonal/>
    </border>
    <border>
      <left/>
      <right style="medium">
        <color indexed="62"/>
      </right>
      <top/>
      <bottom style="medium">
        <color indexed="62"/>
      </bottom>
      <diagonal/>
    </border>
    <border>
      <left/>
      <right style="medium">
        <color indexed="62"/>
      </right>
      <top style="medium">
        <color indexed="62"/>
      </top>
      <bottom style="medium">
        <color indexed="62"/>
      </bottom>
      <diagonal/>
    </border>
    <border>
      <left style="thin">
        <color indexed="64"/>
      </left>
      <right/>
      <top/>
      <bottom/>
      <diagonal/>
    </border>
    <border>
      <left style="thin">
        <color indexed="64"/>
      </left>
      <right style="thin">
        <color indexed="64"/>
      </right>
      <top/>
      <bottom/>
      <diagonal/>
    </border>
    <border>
      <left/>
      <right/>
      <top style="thin">
        <color indexed="64"/>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style="thick">
        <color rgb="FF808080"/>
      </right>
      <top style="thick">
        <color rgb="FF808080"/>
      </top>
      <bottom style="medium">
        <color rgb="FF808080"/>
      </bottom>
      <diagonal/>
    </border>
    <border>
      <left style="thick">
        <color rgb="FF808080"/>
      </left>
      <right/>
      <top style="thick">
        <color rgb="FF808080"/>
      </top>
      <bottom style="medium">
        <color rgb="FF808080"/>
      </bottom>
      <diagonal/>
    </border>
    <border>
      <left/>
      <right/>
      <top style="thick">
        <color rgb="FF808080"/>
      </top>
      <bottom style="medium">
        <color rgb="FF808080"/>
      </bottom>
      <diagonal/>
    </border>
    <border>
      <left/>
      <right style="thin">
        <color indexed="64"/>
      </right>
      <top/>
      <bottom/>
      <diagonal/>
    </border>
    <border>
      <left/>
      <right style="thick">
        <color rgb="FF808080"/>
      </right>
      <top/>
      <bottom style="medium">
        <color rgb="FF808080"/>
      </bottom>
      <diagonal/>
    </border>
    <border>
      <left style="medium">
        <color rgb="FF808080"/>
      </left>
      <right style="thick">
        <color rgb="FF808080"/>
      </right>
      <top style="medium">
        <color rgb="FF808080"/>
      </top>
      <bottom/>
      <diagonal/>
    </border>
    <border>
      <left/>
      <right style="thick">
        <color rgb="FF808080"/>
      </right>
      <top style="medium">
        <color rgb="FF808080"/>
      </top>
      <bottom/>
      <diagonal/>
    </border>
    <border>
      <left/>
      <right style="thick">
        <color rgb="FF808080"/>
      </right>
      <top/>
      <bottom/>
      <diagonal/>
    </border>
    <border>
      <left style="medium">
        <color rgb="FF808080"/>
      </left>
      <right style="thick">
        <color rgb="FF808080"/>
      </right>
      <top/>
      <bottom/>
      <diagonal/>
    </border>
    <border>
      <left/>
      <right style="medium">
        <color rgb="FF808080"/>
      </right>
      <top/>
      <bottom/>
      <diagonal/>
    </border>
    <border>
      <left style="medium">
        <color rgb="FF808080"/>
      </left>
      <right style="thick">
        <color rgb="FF808080"/>
      </right>
      <top/>
      <bottom style="medium">
        <color rgb="FF808080"/>
      </bottom>
      <diagonal/>
    </border>
    <border>
      <left style="thick">
        <color rgb="FF808080"/>
      </left>
      <right style="thick">
        <color rgb="FF808080"/>
      </right>
      <top style="dotted">
        <color rgb="FF808080"/>
      </top>
      <bottom style="medium">
        <color rgb="FF808080"/>
      </bottom>
      <diagonal/>
    </border>
    <border>
      <left/>
      <right style="thick">
        <color rgb="FF808080"/>
      </right>
      <top style="dotted">
        <color rgb="FF808080"/>
      </top>
      <bottom style="medium">
        <color rgb="FF808080"/>
      </bottom>
      <diagonal/>
    </border>
    <border>
      <left/>
      <right style="thick">
        <color rgb="FF808080"/>
      </right>
      <top style="medium">
        <color rgb="FF808080"/>
      </top>
      <bottom style="thick">
        <color rgb="FF808080"/>
      </bottom>
      <diagonal/>
    </border>
    <border>
      <left style="thick">
        <color rgb="FF365F91"/>
      </left>
      <right/>
      <top style="thick">
        <color rgb="FF365F91"/>
      </top>
      <bottom/>
      <diagonal/>
    </border>
    <border>
      <left/>
      <right style="thick">
        <color rgb="FF365F91"/>
      </right>
      <top style="thick">
        <color rgb="FF365F91"/>
      </top>
      <bottom/>
      <diagonal/>
    </border>
    <border>
      <left style="thick">
        <color rgb="FF365F91"/>
      </left>
      <right/>
      <top style="thick">
        <color rgb="FF365F91"/>
      </top>
      <bottom style="thick">
        <color rgb="FF365F91"/>
      </bottom>
      <diagonal/>
    </border>
    <border>
      <left/>
      <right style="thick">
        <color rgb="FF365F91"/>
      </right>
      <top style="thick">
        <color rgb="FF365F91"/>
      </top>
      <bottom style="thick">
        <color rgb="FF365F91"/>
      </bottom>
      <diagonal/>
    </border>
    <border>
      <left style="thick">
        <color rgb="FF365F91"/>
      </left>
      <right style="thick">
        <color rgb="FF365F91"/>
      </right>
      <top style="thick">
        <color rgb="FF365F91"/>
      </top>
      <bottom/>
      <diagonal/>
    </border>
    <border>
      <left style="thick">
        <color rgb="FF365F91"/>
      </left>
      <right/>
      <top/>
      <bottom style="medium">
        <color rgb="FF808080"/>
      </bottom>
      <diagonal/>
    </border>
    <border>
      <left/>
      <right style="thick">
        <color rgb="FF365F91"/>
      </right>
      <top/>
      <bottom style="medium">
        <color rgb="FF808080"/>
      </bottom>
      <diagonal/>
    </border>
    <border>
      <left style="thick">
        <color rgb="FF365F91"/>
      </left>
      <right/>
      <top style="thick">
        <color rgb="FF365F91"/>
      </top>
      <bottom style="medium">
        <color rgb="FF808080"/>
      </bottom>
      <diagonal/>
    </border>
    <border>
      <left style="thick">
        <color theme="0" tint="-0.34998626667073579"/>
      </left>
      <right style="thick">
        <color rgb="FF365F91"/>
      </right>
      <top style="thick">
        <color rgb="FF365F91"/>
      </top>
      <bottom style="medium">
        <color rgb="FF808080"/>
      </bottom>
      <diagonal/>
    </border>
    <border>
      <left style="thick">
        <color rgb="FF365F91"/>
      </left>
      <right style="thick">
        <color rgb="FF365F91"/>
      </right>
      <top style="thick">
        <color rgb="FF365F91"/>
      </top>
      <bottom style="medium">
        <color rgb="FF808080"/>
      </bottom>
      <diagonal/>
    </border>
    <border>
      <left style="thick">
        <color rgb="FF365F91"/>
      </left>
      <right style="thick">
        <color rgb="FF365F91"/>
      </right>
      <top/>
      <bottom style="medium">
        <color rgb="FF808080"/>
      </bottom>
      <diagonal/>
    </border>
    <border>
      <left style="thick">
        <color rgb="FF365F91"/>
      </left>
      <right style="medium">
        <color rgb="FF808080"/>
      </right>
      <top style="medium">
        <color rgb="FF808080"/>
      </top>
      <bottom/>
      <diagonal/>
    </border>
    <border>
      <left/>
      <right style="thick">
        <color rgb="FF365F91"/>
      </right>
      <top/>
      <bottom/>
      <diagonal/>
    </border>
    <border>
      <left style="thick">
        <color rgb="FF365F91"/>
      </left>
      <right style="thick">
        <color rgb="FF365F91"/>
      </right>
      <top/>
      <bottom/>
      <diagonal/>
    </border>
    <border>
      <left style="thick">
        <color rgb="FF365F91"/>
      </left>
      <right style="medium">
        <color rgb="FF808080"/>
      </right>
      <top/>
      <bottom/>
      <diagonal/>
    </border>
    <border>
      <left style="thick">
        <color rgb="FF365F91"/>
      </left>
      <right style="medium">
        <color rgb="FF808080"/>
      </right>
      <top/>
      <bottom style="medium">
        <color rgb="FF808080"/>
      </bottom>
      <diagonal/>
    </border>
    <border>
      <left style="thick">
        <color rgb="FF365F91"/>
      </left>
      <right style="thick">
        <color rgb="FF365F91"/>
      </right>
      <top style="medium">
        <color theme="0" tint="-0.34998626667073579"/>
      </top>
      <bottom style="medium">
        <color rgb="FF808080"/>
      </bottom>
      <diagonal/>
    </border>
    <border>
      <left style="thick">
        <color rgb="FF365F91"/>
      </left>
      <right style="medium">
        <color rgb="FF808080"/>
      </right>
      <top style="medium">
        <color theme="0" tint="-0.499984740745262"/>
      </top>
      <bottom style="medium">
        <color theme="0" tint="-0.499984740745262"/>
      </bottom>
      <diagonal/>
    </border>
    <border>
      <left/>
      <right style="medium">
        <color rgb="FF808080"/>
      </right>
      <top style="medium">
        <color theme="0" tint="-0.499984740745262"/>
      </top>
      <bottom style="medium">
        <color theme="0" tint="-0.499984740745262"/>
      </bottom>
      <diagonal/>
    </border>
    <border>
      <left/>
      <right style="thick">
        <color rgb="FF365F91"/>
      </right>
      <top style="medium">
        <color theme="0" tint="-0.499984740745262"/>
      </top>
      <bottom style="medium">
        <color theme="0" tint="-0.499984740745262"/>
      </bottom>
      <diagonal/>
    </border>
    <border>
      <left style="thick">
        <color rgb="FF365F91"/>
      </left>
      <right style="thick">
        <color rgb="FF365F91"/>
      </right>
      <top style="medium">
        <color theme="0" tint="-0.499984740745262"/>
      </top>
      <bottom style="medium">
        <color theme="0" tint="-0.499984740745262"/>
      </bottom>
      <diagonal/>
    </border>
    <border>
      <left style="thick">
        <color rgb="FF808080"/>
      </left>
      <right style="thick">
        <color rgb="FF808080"/>
      </right>
      <top style="medium">
        <color rgb="FF808080"/>
      </top>
      <bottom/>
      <diagonal/>
    </border>
    <border>
      <left style="thick">
        <color rgb="FF808080"/>
      </left>
      <right style="thick">
        <color rgb="FF808080"/>
      </right>
      <top/>
      <bottom style="dashed">
        <color rgb="FF808080"/>
      </bottom>
      <diagonal/>
    </border>
    <border>
      <left/>
      <right style="thick">
        <color rgb="FF808080"/>
      </right>
      <top/>
      <bottom style="dashed">
        <color rgb="FF80808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ck">
        <color rgb="FF365F91"/>
      </top>
      <bottom/>
      <diagonal/>
    </border>
    <border>
      <left style="thick">
        <color theme="0" tint="-0.34998626667073579"/>
      </left>
      <right style="thick">
        <color rgb="FF365F91"/>
      </right>
      <top style="medium">
        <color indexed="64"/>
      </top>
      <bottom/>
      <diagonal/>
    </border>
    <border>
      <left style="thick">
        <color theme="0" tint="-0.34998626667073579"/>
      </left>
      <right/>
      <top style="medium">
        <color indexed="64"/>
      </top>
      <bottom/>
      <diagonal/>
    </border>
    <border>
      <left style="thick">
        <color theme="0" tint="-0.34998626667073579"/>
      </left>
      <right style="thick">
        <color rgb="FF365F91"/>
      </right>
      <top/>
      <bottom style="medium">
        <color indexed="64"/>
      </bottom>
      <diagonal/>
    </border>
    <border>
      <left style="thick">
        <color theme="0" tint="-0.34998626667073579"/>
      </left>
      <right/>
      <top/>
      <bottom style="medium">
        <color indexed="64"/>
      </bottom>
      <diagonal/>
    </border>
    <border>
      <left style="medium">
        <color indexed="64"/>
      </left>
      <right style="medium">
        <color indexed="64"/>
      </right>
      <top style="medium">
        <color indexed="64"/>
      </top>
      <bottom style="medium">
        <color indexed="64"/>
      </bottom>
      <diagonal/>
    </border>
    <border>
      <left/>
      <right style="thick">
        <color rgb="FF365F91"/>
      </right>
      <top style="medium">
        <color indexed="64"/>
      </top>
      <bottom/>
      <diagonal/>
    </border>
    <border>
      <left style="thick">
        <color rgb="FF365F91"/>
      </left>
      <right style="thick">
        <color rgb="FF365F91"/>
      </right>
      <top style="medium">
        <color indexed="64"/>
      </top>
      <bottom/>
      <diagonal/>
    </border>
    <border>
      <left/>
      <right style="medium">
        <color rgb="FF808080"/>
      </right>
      <top style="medium">
        <color indexed="64"/>
      </top>
      <bottom/>
      <diagonal/>
    </border>
    <border>
      <left style="thick">
        <color rgb="FF365F91"/>
      </left>
      <right style="medium">
        <color indexed="64"/>
      </right>
      <top style="medium">
        <color indexed="64"/>
      </top>
      <bottom/>
      <diagonal/>
    </border>
    <border>
      <left style="thick">
        <color rgb="FF365F91"/>
      </left>
      <right style="thick">
        <color rgb="FF365F91"/>
      </right>
      <top/>
      <bottom style="medium">
        <color indexed="64"/>
      </bottom>
      <diagonal/>
    </border>
    <border>
      <left/>
      <right style="medium">
        <color rgb="FF808080"/>
      </right>
      <top/>
      <bottom style="medium">
        <color indexed="64"/>
      </bottom>
      <diagonal/>
    </border>
    <border>
      <left/>
      <right style="thick">
        <color rgb="FF365F91"/>
      </right>
      <top/>
      <bottom style="medium">
        <color indexed="64"/>
      </bottom>
      <diagonal/>
    </border>
    <border>
      <left style="thick">
        <color rgb="FF365F91"/>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right style="thin">
        <color indexed="64"/>
      </right>
      <top style="medium">
        <color indexed="64"/>
      </top>
      <bottom/>
      <diagonal/>
    </border>
    <border>
      <left/>
      <right style="thick">
        <color rgb="FF808080"/>
      </right>
      <top style="medium">
        <color indexed="64"/>
      </top>
      <bottom style="medium">
        <color rgb="FF808080"/>
      </bottom>
      <diagonal/>
    </border>
    <border>
      <left style="thick">
        <color rgb="FF808080"/>
      </left>
      <right/>
      <top style="medium">
        <color indexed="64"/>
      </top>
      <bottom style="medium">
        <color rgb="FF808080"/>
      </bottom>
      <diagonal/>
    </border>
    <border>
      <left/>
      <right/>
      <top style="medium">
        <color indexed="64"/>
      </top>
      <bottom style="medium">
        <color rgb="FF808080"/>
      </bottom>
      <diagonal/>
    </border>
    <border>
      <left/>
      <right style="medium">
        <color indexed="64"/>
      </right>
      <top style="medium">
        <color indexed="64"/>
      </top>
      <bottom style="medium">
        <color rgb="FF808080"/>
      </bottom>
      <diagonal/>
    </border>
    <border>
      <left style="medium">
        <color indexed="64"/>
      </left>
      <right/>
      <top/>
      <bottom style="thin">
        <color indexed="64"/>
      </bottom>
      <diagonal/>
    </border>
    <border>
      <left/>
      <right style="medium">
        <color indexed="64"/>
      </right>
      <top/>
      <bottom style="medium">
        <color rgb="FF808080"/>
      </bottom>
      <diagonal/>
    </border>
    <border>
      <left style="medium">
        <color indexed="64"/>
      </left>
      <right style="thick">
        <color rgb="FF808080"/>
      </right>
      <top style="medium">
        <color rgb="FF808080"/>
      </top>
      <bottom/>
      <diagonal/>
    </border>
    <border>
      <left style="medium">
        <color indexed="64"/>
      </left>
      <right style="thick">
        <color rgb="FF808080"/>
      </right>
      <top/>
      <bottom/>
      <diagonal/>
    </border>
    <border>
      <left style="medium">
        <color indexed="64"/>
      </left>
      <right style="thick">
        <color rgb="FF808080"/>
      </right>
      <top/>
      <bottom style="medium">
        <color rgb="FF808080"/>
      </bottom>
      <diagonal/>
    </border>
    <border>
      <left style="thick">
        <color rgb="FF808080"/>
      </left>
      <right style="thick">
        <color rgb="FF808080"/>
      </right>
      <top style="dotted">
        <color rgb="FF808080"/>
      </top>
      <bottom/>
      <diagonal/>
    </border>
    <border>
      <left/>
      <right style="thick">
        <color rgb="FF808080"/>
      </right>
      <top style="dotted">
        <color rgb="FF808080"/>
      </top>
      <bottom/>
      <diagonal/>
    </border>
    <border>
      <left style="thick">
        <color rgb="FF365F91"/>
      </left>
      <right/>
      <top style="medium">
        <color rgb="FF808080"/>
      </top>
      <bottom/>
      <diagonal/>
    </border>
    <border>
      <left/>
      <right style="thick">
        <color rgb="FF365F91"/>
      </right>
      <top style="medium">
        <color rgb="FF808080"/>
      </top>
      <bottom/>
      <diagonal/>
    </border>
    <border>
      <left style="thin">
        <color indexed="64"/>
      </left>
      <right/>
      <top/>
      <bottom style="medium">
        <color rgb="FF808080"/>
      </bottom>
      <diagonal/>
    </border>
    <border>
      <left style="medium">
        <color rgb="FF808080"/>
      </left>
      <right/>
      <top style="medium">
        <color rgb="FF808080"/>
      </top>
      <bottom style="medium">
        <color rgb="FF808080"/>
      </bottom>
      <diagonal/>
    </border>
    <border>
      <left/>
      <right style="thick">
        <color rgb="FF808080"/>
      </right>
      <top style="medium">
        <color rgb="FF808080"/>
      </top>
      <bottom style="medium">
        <color rgb="FF808080"/>
      </bottom>
      <diagonal/>
    </border>
    <border>
      <left style="thick">
        <color rgb="FF365F91"/>
      </left>
      <right/>
      <top style="medium">
        <color rgb="FF808080"/>
      </top>
      <bottom style="medium">
        <color theme="0" tint="-0.499984740745262"/>
      </bottom>
      <diagonal/>
    </border>
    <border>
      <left/>
      <right style="thick">
        <color rgb="FF365F91"/>
      </right>
      <top style="medium">
        <color rgb="FF808080"/>
      </top>
      <bottom style="medium">
        <color theme="0" tint="-0.499984740745262"/>
      </bottom>
      <diagonal/>
    </border>
    <border>
      <left style="thick">
        <color rgb="FF365F91"/>
      </left>
      <right style="thick">
        <color rgb="FF365F91"/>
      </right>
      <top/>
      <bottom style="medium">
        <color theme="0" tint="-0.499984740745262"/>
      </bottom>
      <diagonal/>
    </border>
    <border>
      <left/>
      <right style="medium">
        <color rgb="FF808080"/>
      </right>
      <top/>
      <bottom style="medium">
        <color theme="0" tint="-0.499984740745262"/>
      </bottom>
      <diagonal/>
    </border>
    <border>
      <left/>
      <right style="thick">
        <color rgb="FF365F91"/>
      </right>
      <top/>
      <bottom style="medium">
        <color theme="0" tint="-0.499984740745262"/>
      </bottom>
      <diagonal/>
    </border>
    <border>
      <left style="medium">
        <color indexed="64"/>
      </left>
      <right/>
      <top style="medium">
        <color indexed="64"/>
      </top>
      <bottom style="medium">
        <color indexed="64"/>
      </bottom>
      <diagonal/>
    </border>
    <border>
      <left/>
      <right style="thick">
        <color rgb="FF808080"/>
      </right>
      <top style="medium">
        <color indexed="64"/>
      </top>
      <bottom style="medium">
        <color indexed="64"/>
      </bottom>
      <diagonal/>
    </border>
    <border>
      <left style="thick">
        <color rgb="FF808080"/>
      </left>
      <right style="thick">
        <color auto="1"/>
      </right>
      <top style="medium">
        <color indexed="64"/>
      </top>
      <bottom style="medium">
        <color indexed="64"/>
      </bottom>
      <diagonal/>
    </border>
    <border>
      <left style="thick">
        <color auto="1"/>
      </left>
      <right style="thick">
        <color auto="1"/>
      </right>
      <top style="medium">
        <color indexed="64"/>
      </top>
      <bottom style="medium">
        <color indexed="64"/>
      </bottom>
      <diagonal/>
    </border>
    <border>
      <left style="thick">
        <color rgb="FF365F91"/>
      </left>
      <right/>
      <top style="medium">
        <color rgb="FF808080"/>
      </top>
      <bottom style="medium">
        <color indexed="64"/>
      </bottom>
      <diagonal/>
    </border>
    <border>
      <left/>
      <right style="thick">
        <color rgb="FF365F91"/>
      </right>
      <top style="medium">
        <color rgb="FF808080"/>
      </top>
      <bottom style="medium">
        <color indexed="64"/>
      </bottom>
      <diagonal/>
    </border>
    <border>
      <left style="thick">
        <color rgb="FF365F91"/>
      </left>
      <right style="thick">
        <color rgb="FF365F91"/>
      </right>
      <top style="medium">
        <color rgb="FF808080"/>
      </top>
      <bottom style="thin">
        <color indexed="64"/>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s>
  <cellStyleXfs count="7">
    <xf numFmtId="0" fontId="0" fillId="0" borderId="0"/>
    <xf numFmtId="9" fontId="1" fillId="0" borderId="0" applyFont="0" applyFill="0" applyBorder="0" applyAlignment="0" applyProtection="0"/>
    <xf numFmtId="9" fontId="3" fillId="0" borderId="0" applyFont="0" applyFill="0" applyBorder="0" applyAlignment="0" applyProtection="0"/>
    <xf numFmtId="0" fontId="1" fillId="0" borderId="0"/>
    <xf numFmtId="164" fontId="49" fillId="0" borderId="0" applyFont="0" applyFill="0" applyBorder="0" applyAlignment="0" applyProtection="0"/>
    <xf numFmtId="9" fontId="1" fillId="0" borderId="0" applyFont="0" applyFill="0" applyBorder="0" applyAlignment="0" applyProtection="0"/>
    <xf numFmtId="0" fontId="104" fillId="0" borderId="0" applyNumberFormat="0" applyFill="0" applyBorder="0" applyAlignment="0" applyProtection="0"/>
  </cellStyleXfs>
  <cellXfs count="675">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Fill="1" applyBorder="1" applyAlignment="1">
      <alignment horizontal="center" vertical="center"/>
    </xf>
    <xf numFmtId="0" fontId="2" fillId="0" borderId="0" xfId="0" applyFont="1"/>
    <xf numFmtId="0" fontId="2" fillId="0" borderId="4" xfId="0" applyFont="1" applyBorder="1" applyAlignment="1">
      <alignment vertical="center"/>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2" fillId="0" borderId="12" xfId="0" applyFont="1" applyBorder="1" applyAlignment="1">
      <alignment horizontal="center"/>
    </xf>
    <xf numFmtId="0" fontId="5" fillId="0" borderId="0" xfId="0" applyFont="1"/>
    <xf numFmtId="0" fontId="2" fillId="0" borderId="13" xfId="0" applyFont="1" applyBorder="1" applyAlignment="1">
      <alignment horizontal="center"/>
    </xf>
    <xf numFmtId="0" fontId="2" fillId="2" borderId="4" xfId="0" applyFont="1" applyFill="1" applyBorder="1" applyAlignment="1">
      <alignment vertical="center"/>
    </xf>
    <xf numFmtId="0" fontId="2" fillId="2" borderId="5" xfId="0" applyFont="1" applyFill="1" applyBorder="1" applyAlignment="1">
      <alignment vertical="center"/>
    </xf>
    <xf numFmtId="9" fontId="2" fillId="0" borderId="0" xfId="0" applyNumberFormat="1" applyFont="1"/>
    <xf numFmtId="9" fontId="3" fillId="0" borderId="0" xfId="0" applyNumberFormat="1" applyFont="1"/>
    <xf numFmtId="0" fontId="3" fillId="2" borderId="5"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9" fontId="6" fillId="2" borderId="20" xfId="1" applyFont="1" applyFill="1" applyBorder="1" applyAlignment="1">
      <alignment horizontal="right" vertical="center"/>
    </xf>
    <xf numFmtId="0" fontId="6" fillId="0" borderId="0" xfId="0" applyFont="1"/>
    <xf numFmtId="165" fontId="5" fillId="0" borderId="0" xfId="0" applyNumberFormat="1" applyFont="1" applyFill="1" applyBorder="1" applyAlignment="1">
      <alignment horizontal="right" vertical="center" indent="1"/>
    </xf>
    <xf numFmtId="0" fontId="7" fillId="0" borderId="0" xfId="0" applyFont="1"/>
    <xf numFmtId="166" fontId="8" fillId="2" borderId="13" xfId="1" applyNumberFormat="1" applyFont="1" applyFill="1" applyBorder="1"/>
    <xf numFmtId="167" fontId="2" fillId="2" borderId="21" xfId="0" applyNumberFormat="1" applyFont="1" applyFill="1" applyBorder="1" applyAlignment="1">
      <alignment vertical="center"/>
    </xf>
    <xf numFmtId="9" fontId="6" fillId="2" borderId="21" xfId="0" applyNumberFormat="1" applyFont="1" applyFill="1" applyBorder="1" applyAlignment="1">
      <alignment vertical="center"/>
    </xf>
    <xf numFmtId="0" fontId="2" fillId="0" borderId="21" xfId="0" applyFont="1" applyBorder="1" applyAlignment="1">
      <alignment horizontal="center" vertical="center"/>
    </xf>
    <xf numFmtId="0" fontId="2" fillId="0" borderId="21" xfId="0" applyFont="1" applyBorder="1" applyAlignment="1">
      <alignment horizontal="right" vertical="center"/>
    </xf>
    <xf numFmtId="0" fontId="3" fillId="0" borderId="21" xfId="0" applyFont="1" applyBorder="1" applyAlignment="1">
      <alignment vertical="center"/>
    </xf>
    <xf numFmtId="0" fontId="2" fillId="2" borderId="21" xfId="0" applyFont="1" applyFill="1" applyBorder="1" applyAlignment="1">
      <alignment vertical="center"/>
    </xf>
    <xf numFmtId="0" fontId="2" fillId="0" borderId="21" xfId="0" applyNumberFormat="1" applyFont="1" applyFill="1" applyBorder="1" applyAlignment="1">
      <alignment horizontal="center" vertical="center"/>
    </xf>
    <xf numFmtId="0" fontId="2" fillId="0" borderId="21" xfId="0" applyFont="1" applyBorder="1" applyAlignment="1">
      <alignment horizontal="center"/>
    </xf>
    <xf numFmtId="0" fontId="3" fillId="0" borderId="21" xfId="0" applyFont="1" applyBorder="1"/>
    <xf numFmtId="166" fontId="2" fillId="0" borderId="21" xfId="0" applyNumberFormat="1" applyFont="1" applyBorder="1" applyAlignment="1">
      <alignment horizontal="right"/>
    </xf>
    <xf numFmtId="166" fontId="2" fillId="2" borderId="21" xfId="0" applyNumberFormat="1" applyFont="1" applyFill="1" applyBorder="1" applyAlignment="1">
      <alignment horizontal="right"/>
    </xf>
    <xf numFmtId="166" fontId="5" fillId="2" borderId="21" xfId="0" applyNumberFormat="1" applyFont="1" applyFill="1" applyBorder="1" applyAlignment="1">
      <alignment horizontal="right"/>
    </xf>
    <xf numFmtId="165" fontId="3" fillId="0" borderId="15" xfId="0" applyNumberFormat="1" applyFont="1" applyFill="1" applyBorder="1" applyAlignment="1">
      <alignment horizontal="right" vertical="center"/>
    </xf>
    <xf numFmtId="165" fontId="2" fillId="2" borderId="20" xfId="0" applyNumberFormat="1" applyFont="1" applyFill="1" applyBorder="1" applyAlignment="1">
      <alignment horizontal="right" vertical="center"/>
    </xf>
    <xf numFmtId="165" fontId="5" fillId="2" borderId="21" xfId="0" applyNumberFormat="1" applyFont="1" applyFill="1" applyBorder="1" applyAlignment="1">
      <alignment horizontal="right" vertical="center"/>
    </xf>
    <xf numFmtId="165" fontId="2" fillId="0" borderId="0" xfId="0" applyNumberFormat="1" applyFont="1"/>
    <xf numFmtId="165" fontId="2" fillId="0" borderId="21" xfId="0" applyNumberFormat="1" applyFont="1" applyFill="1" applyBorder="1" applyAlignment="1">
      <alignment horizontal="right" vertical="center"/>
    </xf>
    <xf numFmtId="165" fontId="2" fillId="2" borderId="21" xfId="0" applyNumberFormat="1" applyFont="1" applyFill="1" applyBorder="1" applyAlignment="1">
      <alignment horizontal="right" vertical="center"/>
    </xf>
    <xf numFmtId="0" fontId="10" fillId="0" borderId="28" xfId="0" applyFont="1" applyBorder="1"/>
    <xf numFmtId="0" fontId="10" fillId="0" borderId="28" xfId="0" applyFont="1" applyBorder="1" applyAlignment="1">
      <alignment wrapText="1"/>
    </xf>
    <xf numFmtId="165" fontId="10" fillId="0" borderId="29" xfId="0" applyNumberFormat="1" applyFont="1" applyBorder="1"/>
    <xf numFmtId="165" fontId="10" fillId="0" borderId="29" xfId="0" applyNumberFormat="1" applyFont="1" applyBorder="1" applyAlignment="1">
      <alignment wrapText="1"/>
    </xf>
    <xf numFmtId="166" fontId="10" fillId="0" borderId="29" xfId="0" applyNumberFormat="1" applyFont="1" applyBorder="1" applyAlignment="1">
      <alignment horizontal="right" wrapText="1" indent="1"/>
    </xf>
    <xf numFmtId="166" fontId="2" fillId="0" borderId="0" xfId="0" applyNumberFormat="1" applyFont="1"/>
    <xf numFmtId="166" fontId="3" fillId="0" borderId="0" xfId="0" applyNumberFormat="1" applyFont="1"/>
    <xf numFmtId="0" fontId="13" fillId="0" borderId="0" xfId="0" applyFont="1"/>
    <xf numFmtId="0" fontId="14" fillId="0" borderId="0" xfId="0" applyFont="1"/>
    <xf numFmtId="0" fontId="15" fillId="0" borderId="0" xfId="0" applyFont="1"/>
    <xf numFmtId="0" fontId="10" fillId="0" borderId="31" xfId="0" applyFont="1" applyFill="1" applyBorder="1"/>
    <xf numFmtId="0" fontId="8"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24" fillId="0" borderId="0" xfId="0" applyFont="1"/>
    <xf numFmtId="0" fontId="25" fillId="0" borderId="0" xfId="0" applyFont="1"/>
    <xf numFmtId="166" fontId="0" fillId="0" borderId="0" xfId="0" applyNumberFormat="1"/>
    <xf numFmtId="0" fontId="8" fillId="0" borderId="21" xfId="0" applyFont="1" applyBorder="1"/>
    <xf numFmtId="165" fontId="8" fillId="0" borderId="21" xfId="0" applyNumberFormat="1" applyFont="1" applyBorder="1"/>
    <xf numFmtId="0" fontId="4" fillId="0" borderId="21" xfId="0" applyFont="1" applyBorder="1" applyAlignment="1">
      <alignment horizontal="left" indent="2"/>
    </xf>
    <xf numFmtId="165" fontId="4" fillId="0" borderId="21" xfId="0" applyNumberFormat="1" applyFont="1" applyBorder="1"/>
    <xf numFmtId="0" fontId="8" fillId="0" borderId="21" xfId="0" applyFont="1" applyBorder="1" applyAlignment="1">
      <alignment horizontal="left"/>
    </xf>
    <xf numFmtId="0" fontId="5" fillId="2" borderId="21" xfId="0" applyFont="1" applyFill="1" applyBorder="1" applyAlignment="1">
      <alignment vertical="center"/>
    </xf>
    <xf numFmtId="165" fontId="26" fillId="0" borderId="21" xfId="0" applyNumberFormat="1" applyFont="1" applyFill="1" applyBorder="1" applyAlignment="1">
      <alignment horizontal="center"/>
    </xf>
    <xf numFmtId="0" fontId="9" fillId="0" borderId="31" xfId="0" applyFont="1" applyFill="1" applyBorder="1"/>
    <xf numFmtId="165" fontId="0" fillId="0" borderId="21" xfId="0" applyNumberFormat="1" applyFill="1" applyBorder="1"/>
    <xf numFmtId="166" fontId="27" fillId="0" borderId="21" xfId="0" applyNumberFormat="1" applyFont="1" applyFill="1" applyBorder="1" applyAlignment="1">
      <alignment horizontal="center"/>
    </xf>
    <xf numFmtId="166" fontId="12" fillId="0" borderId="21" xfId="0" applyNumberFormat="1" applyFont="1" applyFill="1" applyBorder="1" applyAlignment="1">
      <alignment horizontal="center"/>
    </xf>
    <xf numFmtId="168" fontId="10" fillId="0" borderId="21" xfId="0" applyNumberFormat="1" applyFont="1" applyFill="1" applyBorder="1"/>
    <xf numFmtId="10" fontId="10" fillId="0" borderId="21" xfId="0" applyNumberFormat="1" applyFont="1" applyFill="1" applyBorder="1"/>
    <xf numFmtId="168" fontId="9" fillId="0" borderId="21" xfId="0" applyNumberFormat="1" applyFont="1" applyFill="1" applyBorder="1"/>
    <xf numFmtId="0" fontId="0" fillId="0" borderId="21" xfId="0" applyBorder="1"/>
    <xf numFmtId="0" fontId="9" fillId="4" borderId="21" xfId="0" applyFont="1" applyFill="1" applyBorder="1"/>
    <xf numFmtId="168" fontId="0" fillId="0" borderId="21" xfId="0" applyNumberFormat="1" applyBorder="1"/>
    <xf numFmtId="168" fontId="8" fillId="0" borderId="21" xfId="0" applyNumberFormat="1" applyFont="1" applyBorder="1"/>
    <xf numFmtId="165" fontId="16" fillId="0" borderId="0" xfId="0" applyNumberFormat="1" applyFont="1"/>
    <xf numFmtId="165" fontId="14" fillId="0" borderId="0" xfId="0" applyNumberFormat="1" applyFont="1"/>
    <xf numFmtId="165" fontId="15" fillId="0" borderId="0" xfId="0" applyNumberFormat="1" applyFont="1"/>
    <xf numFmtId="165" fontId="0" fillId="0" borderId="0" xfId="0" applyNumberFormat="1"/>
    <xf numFmtId="165" fontId="17" fillId="0" borderId="0" xfId="0" applyNumberFormat="1" applyFont="1"/>
    <xf numFmtId="0" fontId="28" fillId="0" borderId="0" xfId="0" applyFont="1"/>
    <xf numFmtId="0" fontId="29" fillId="0" borderId="0" xfId="0" applyFont="1"/>
    <xf numFmtId="165" fontId="9" fillId="5" borderId="21" xfId="0" applyNumberFormat="1" applyFont="1" applyFill="1" applyBorder="1"/>
    <xf numFmtId="166" fontId="10" fillId="0" borderId="21" xfId="0" applyNumberFormat="1" applyFont="1" applyBorder="1"/>
    <xf numFmtId="166" fontId="9" fillId="5" borderId="21" xfId="0" applyNumberFormat="1" applyFont="1" applyFill="1" applyBorder="1"/>
    <xf numFmtId="168" fontId="10" fillId="0" borderId="21" xfId="0" applyNumberFormat="1" applyFont="1" applyBorder="1"/>
    <xf numFmtId="168" fontId="9" fillId="5" borderId="21" xfId="0" applyNumberFormat="1" applyFont="1" applyFill="1" applyBorder="1"/>
    <xf numFmtId="169" fontId="8" fillId="0" borderId="21" xfId="0" applyNumberFormat="1" applyFont="1" applyBorder="1"/>
    <xf numFmtId="169" fontId="12" fillId="0" borderId="21" xfId="0" applyNumberFormat="1" applyFont="1" applyBorder="1"/>
    <xf numFmtId="165" fontId="31" fillId="0" borderId="21" xfId="0" applyNumberFormat="1" applyFont="1" applyFill="1" applyBorder="1"/>
    <xf numFmtId="168" fontId="32" fillId="0" borderId="21" xfId="0" applyNumberFormat="1" applyFont="1" applyFill="1" applyBorder="1"/>
    <xf numFmtId="10" fontId="32" fillId="0" borderId="21" xfId="0" applyNumberFormat="1" applyFont="1" applyFill="1" applyBorder="1"/>
    <xf numFmtId="168" fontId="30" fillId="0" borderId="21" xfId="0" applyNumberFormat="1" applyFont="1" applyFill="1" applyBorder="1"/>
    <xf numFmtId="0" fontId="31" fillId="0" borderId="0" xfId="0" applyFont="1"/>
    <xf numFmtId="0" fontId="2" fillId="3" borderId="21" xfId="0" applyFont="1" applyFill="1" applyBorder="1" applyAlignment="1">
      <alignment horizontal="center" vertical="center"/>
    </xf>
    <xf numFmtId="0" fontId="35" fillId="0" borderId="0" xfId="0" applyFont="1"/>
    <xf numFmtId="167" fontId="35" fillId="0" borderId="0" xfId="0" applyNumberFormat="1" applyFont="1"/>
    <xf numFmtId="0" fontId="27" fillId="0" borderId="0" xfId="0" applyFont="1" applyFill="1" applyBorder="1" applyAlignment="1">
      <alignment horizontal="right" indent="2"/>
    </xf>
    <xf numFmtId="0" fontId="33" fillId="0" borderId="0" xfId="0" applyFont="1" applyFill="1"/>
    <xf numFmtId="165" fontId="34" fillId="0" borderId="0" xfId="0" applyNumberFormat="1" applyFont="1" applyFill="1"/>
    <xf numFmtId="166" fontId="0" fillId="0" borderId="0" xfId="0" applyNumberFormat="1" applyFill="1"/>
    <xf numFmtId="0" fontId="0" fillId="0" borderId="0" xfId="0" applyFill="1"/>
    <xf numFmtId="0" fontId="4" fillId="0" borderId="0" xfId="0" applyFont="1" applyAlignment="1">
      <alignment horizontal="left" vertical="center"/>
    </xf>
    <xf numFmtId="0" fontId="2" fillId="0" borderId="23" xfId="0" applyFont="1" applyBorder="1" applyAlignment="1">
      <alignment horizontal="center" vertical="center"/>
    </xf>
    <xf numFmtId="0" fontId="37" fillId="0" borderId="0" xfId="0" applyFont="1"/>
    <xf numFmtId="0" fontId="38" fillId="0" borderId="0" xfId="0" applyFont="1"/>
    <xf numFmtId="0" fontId="39" fillId="0" borderId="0" xfId="0" applyFont="1" applyAlignment="1">
      <alignment horizontal="left" vertical="center"/>
    </xf>
    <xf numFmtId="0" fontId="2" fillId="0" borderId="26" xfId="0" applyFont="1" applyBorder="1" applyAlignment="1">
      <alignment horizontal="right" vertical="center"/>
    </xf>
    <xf numFmtId="0" fontId="3" fillId="0" borderId="0" xfId="0" applyFont="1" applyBorder="1" applyAlignment="1">
      <alignment vertical="center"/>
    </xf>
    <xf numFmtId="0" fontId="40" fillId="0" borderId="0" xfId="0" applyFont="1" applyAlignment="1">
      <alignment horizontal="left" vertical="center"/>
    </xf>
    <xf numFmtId="169" fontId="0" fillId="0" borderId="0" xfId="0" applyNumberFormat="1"/>
    <xf numFmtId="168" fontId="0" fillId="0" borderId="0" xfId="0" applyNumberFormat="1"/>
    <xf numFmtId="0" fontId="8" fillId="0" borderId="0" xfId="0" applyFont="1" applyFill="1"/>
    <xf numFmtId="171" fontId="8" fillId="7" borderId="21" xfId="1" applyNumberFormat="1" applyFont="1" applyFill="1" applyBorder="1"/>
    <xf numFmtId="0" fontId="2" fillId="0" borderId="21" xfId="0" applyFont="1" applyBorder="1" applyAlignment="1">
      <alignment horizontal="center"/>
    </xf>
    <xf numFmtId="166" fontId="3" fillId="8" borderId="13" xfId="1" applyNumberFormat="1" applyFont="1" applyFill="1" applyBorder="1"/>
    <xf numFmtId="171" fontId="3" fillId="8" borderId="13" xfId="1" applyNumberFormat="1" applyFont="1" applyFill="1" applyBorder="1"/>
    <xf numFmtId="0" fontId="1" fillId="0" borderId="0" xfId="0" applyFont="1"/>
    <xf numFmtId="166" fontId="0" fillId="0" borderId="0" xfId="1" applyNumberFormat="1" applyFont="1"/>
    <xf numFmtId="166" fontId="12" fillId="0" borderId="21" xfId="1" applyNumberFormat="1" applyFont="1" applyFill="1" applyBorder="1" applyAlignment="1">
      <alignment horizontal="center"/>
    </xf>
    <xf numFmtId="166" fontId="6" fillId="2" borderId="21" xfId="0" applyNumberFormat="1" applyFont="1" applyFill="1" applyBorder="1" applyAlignment="1">
      <alignment vertical="center"/>
    </xf>
    <xf numFmtId="166" fontId="6" fillId="2" borderId="20" xfId="1" applyNumberFormat="1" applyFont="1" applyFill="1" applyBorder="1" applyAlignment="1">
      <alignment horizontal="right" vertical="center"/>
    </xf>
    <xf numFmtId="0" fontId="45" fillId="0" borderId="0" xfId="0" applyFont="1"/>
    <xf numFmtId="0" fontId="46" fillId="0" borderId="0" xfId="0" applyFont="1"/>
    <xf numFmtId="165" fontId="8" fillId="0" borderId="21" xfId="0" applyNumberFormat="1" applyFont="1" applyFill="1" applyBorder="1"/>
    <xf numFmtId="165" fontId="4" fillId="0" borderId="21" xfId="0" applyNumberFormat="1" applyFont="1" applyFill="1" applyBorder="1"/>
    <xf numFmtId="165" fontId="10" fillId="0" borderId="21" xfId="0" applyNumberFormat="1" applyFont="1" applyFill="1" applyBorder="1"/>
    <xf numFmtId="0" fontId="2" fillId="8" borderId="0" xfId="0" applyFont="1" applyFill="1"/>
    <xf numFmtId="0" fontId="45" fillId="0" borderId="8" xfId="0" applyFont="1" applyBorder="1" applyAlignment="1">
      <alignment vertical="center"/>
    </xf>
    <xf numFmtId="0" fontId="10" fillId="0" borderId="0" xfId="0" applyFont="1"/>
    <xf numFmtId="0" fontId="50" fillId="0" borderId="0" xfId="0" applyFont="1"/>
    <xf numFmtId="0" fontId="51" fillId="0" borderId="0" xfId="0" applyFont="1"/>
    <xf numFmtId="0" fontId="56" fillId="0" borderId="44" xfId="3" applyFont="1" applyBorder="1" applyAlignment="1">
      <alignment horizontal="left" vertical="center"/>
    </xf>
    <xf numFmtId="0" fontId="56" fillId="0" borderId="45" xfId="3" applyFont="1" applyBorder="1" applyAlignment="1">
      <alignment horizontal="left" vertical="center"/>
    </xf>
    <xf numFmtId="3" fontId="10" fillId="0" borderId="0" xfId="0" applyNumberFormat="1" applyFont="1"/>
    <xf numFmtId="0" fontId="59" fillId="0" borderId="49" xfId="3" applyFont="1" applyBorder="1" applyAlignment="1">
      <alignment horizontal="left" vertical="center"/>
    </xf>
    <xf numFmtId="165" fontId="56" fillId="0" borderId="45" xfId="3" applyNumberFormat="1" applyFont="1" applyBorder="1" applyAlignment="1">
      <alignment horizontal="left" vertical="center"/>
    </xf>
    <xf numFmtId="0" fontId="10" fillId="0" borderId="64" xfId="0" applyFont="1" applyBorder="1" applyAlignment="1">
      <alignment horizontal="left" vertical="center"/>
    </xf>
    <xf numFmtId="0" fontId="10" fillId="0" borderId="58" xfId="0" applyFont="1" applyBorder="1" applyAlignment="1">
      <alignment horizontal="left" vertical="center"/>
    </xf>
    <xf numFmtId="0" fontId="11" fillId="0" borderId="58" xfId="0" applyFont="1" applyBorder="1" applyAlignment="1">
      <alignment horizontal="left" vertical="center"/>
    </xf>
    <xf numFmtId="0" fontId="66" fillId="0" borderId="0" xfId="0" applyFont="1" applyAlignment="1">
      <alignment vertical="top" wrapText="1"/>
    </xf>
    <xf numFmtId="10" fontId="10" fillId="0" borderId="0" xfId="1" applyNumberFormat="1" applyFont="1"/>
    <xf numFmtId="0" fontId="50" fillId="0" borderId="0" xfId="0" applyFont="1" applyAlignment="1">
      <alignment horizontal="left" vertical="center"/>
    </xf>
    <xf numFmtId="0" fontId="1" fillId="0" borderId="9" xfId="0" applyFont="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167" fontId="0" fillId="13" borderId="21" xfId="0" applyNumberFormat="1" applyFill="1" applyBorder="1"/>
    <xf numFmtId="165" fontId="0" fillId="13" borderId="21" xfId="0" applyNumberFormat="1" applyFill="1" applyBorder="1"/>
    <xf numFmtId="165" fontId="0" fillId="13" borderId="16" xfId="0" applyNumberFormat="1" applyFill="1" applyBorder="1"/>
    <xf numFmtId="165" fontId="8" fillId="13" borderId="21" xfId="0" applyNumberFormat="1" applyFont="1" applyFill="1" applyBorder="1"/>
    <xf numFmtId="14" fontId="0" fillId="0" borderId="0" xfId="0" applyNumberFormat="1"/>
    <xf numFmtId="169" fontId="3" fillId="0" borderId="14" xfId="1" applyNumberFormat="1" applyFont="1" applyFill="1" applyBorder="1"/>
    <xf numFmtId="0" fontId="61" fillId="0" borderId="76" xfId="3" applyFont="1" applyBorder="1" applyAlignment="1">
      <alignment horizontal="right" vertical="center"/>
    </xf>
    <xf numFmtId="0" fontId="56" fillId="0" borderId="77" xfId="3" applyFont="1" applyBorder="1" applyAlignment="1">
      <alignment horizontal="left" vertical="center"/>
    </xf>
    <xf numFmtId="0" fontId="61" fillId="0" borderId="78" xfId="3" applyFont="1" applyBorder="1" applyAlignment="1">
      <alignment horizontal="right" vertical="center"/>
    </xf>
    <xf numFmtId="165" fontId="56" fillId="0" borderId="79" xfId="3" applyNumberFormat="1" applyFont="1" applyBorder="1" applyAlignment="1">
      <alignment horizontal="left" vertical="center"/>
    </xf>
    <xf numFmtId="0" fontId="56" fillId="0" borderId="80" xfId="3" applyFont="1" applyBorder="1" applyAlignment="1">
      <alignment horizontal="left" vertical="center"/>
    </xf>
    <xf numFmtId="165" fontId="56" fillId="0" borderId="81" xfId="3" applyNumberFormat="1" applyFont="1" applyBorder="1" applyAlignment="1">
      <alignment horizontal="left" vertical="center"/>
    </xf>
    <xf numFmtId="2" fontId="10" fillId="0" borderId="0" xfId="0" applyNumberFormat="1" applyFont="1"/>
    <xf numFmtId="0" fontId="10" fillId="0" borderId="87" xfId="0" applyFont="1" applyBorder="1" applyAlignment="1">
      <alignment horizontal="left" vertical="center"/>
    </xf>
    <xf numFmtId="0" fontId="45" fillId="0" borderId="31" xfId="0" applyFont="1" applyBorder="1" applyAlignment="1">
      <alignment vertical="center"/>
    </xf>
    <xf numFmtId="0" fontId="71" fillId="0" borderId="0" xfId="0" applyFont="1" applyBorder="1" applyAlignment="1">
      <alignment vertical="center"/>
    </xf>
    <xf numFmtId="165" fontId="71" fillId="0" borderId="96" xfId="0" applyNumberFormat="1" applyFont="1" applyFill="1" applyBorder="1" applyAlignment="1">
      <alignment horizontal="right" vertical="center"/>
    </xf>
    <xf numFmtId="165" fontId="71" fillId="0" borderId="97" xfId="0" applyNumberFormat="1" applyFont="1" applyFill="1" applyBorder="1" applyAlignment="1">
      <alignment horizontal="right" vertical="center"/>
    </xf>
    <xf numFmtId="165" fontId="71" fillId="0" borderId="0" xfId="0" applyNumberFormat="1" applyFont="1" applyFill="1" applyBorder="1" applyAlignment="1">
      <alignment horizontal="right" vertical="center"/>
    </xf>
    <xf numFmtId="166" fontId="71" fillId="0" borderId="97" xfId="1" applyNumberFormat="1" applyFont="1" applyFill="1" applyBorder="1" applyAlignment="1">
      <alignment horizontal="right" vertical="center"/>
    </xf>
    <xf numFmtId="0" fontId="43" fillId="0" borderId="0" xfId="0" applyFont="1"/>
    <xf numFmtId="166" fontId="31" fillId="0" borderId="0" xfId="1" applyNumberFormat="1" applyFont="1"/>
    <xf numFmtId="0" fontId="4" fillId="0" borderId="21" xfId="0" applyFont="1" applyFill="1" applyBorder="1" applyAlignment="1">
      <alignment horizontal="left" indent="2"/>
    </xf>
    <xf numFmtId="0" fontId="1" fillId="6" borderId="0" xfId="0" applyFont="1" applyFill="1"/>
    <xf numFmtId="166" fontId="68" fillId="15" borderId="0" xfId="1" applyNumberFormat="1" applyFont="1" applyFill="1"/>
    <xf numFmtId="166" fontId="69" fillId="15" borderId="0" xfId="1" applyNumberFormat="1" applyFont="1" applyFill="1"/>
    <xf numFmtId="166" fontId="68" fillId="15" borderId="0" xfId="0" applyNumberFormat="1" applyFont="1" applyFill="1"/>
    <xf numFmtId="165" fontId="75" fillId="15" borderId="21" xfId="0" applyNumberFormat="1" applyFont="1" applyFill="1" applyBorder="1"/>
    <xf numFmtId="169" fontId="44" fillId="15" borderId="21" xfId="0" applyNumberFormat="1" applyFont="1" applyFill="1" applyBorder="1"/>
    <xf numFmtId="169" fontId="75" fillId="15" borderId="21" xfId="0" applyNumberFormat="1" applyFont="1" applyFill="1" applyBorder="1"/>
    <xf numFmtId="0" fontId="75" fillId="15" borderId="21" xfId="0" applyFont="1" applyFill="1" applyBorder="1" applyAlignment="1">
      <alignment horizontal="left" indent="2"/>
    </xf>
    <xf numFmtId="0" fontId="2" fillId="3" borderId="21" xfId="0" applyFont="1" applyFill="1" applyBorder="1" applyAlignment="1">
      <alignment horizontal="center" vertical="center"/>
    </xf>
    <xf numFmtId="0" fontId="2" fillId="3" borderId="16" xfId="0" applyFont="1" applyFill="1" applyBorder="1" applyAlignment="1">
      <alignment horizontal="center" vertical="center"/>
    </xf>
    <xf numFmtId="168" fontId="0" fillId="0" borderId="4" xfId="0" applyNumberFormat="1" applyBorder="1"/>
    <xf numFmtId="168" fontId="28" fillId="0" borderId="4" xfId="0" applyNumberFormat="1" applyFont="1" applyBorder="1"/>
    <xf numFmtId="165" fontId="18" fillId="0" borderId="0" xfId="0" applyNumberFormat="1" applyFont="1" applyFill="1"/>
    <xf numFmtId="165" fontId="0" fillId="0" borderId="0" xfId="0" applyNumberFormat="1" applyFill="1"/>
    <xf numFmtId="165" fontId="20" fillId="0" borderId="0" xfId="0" applyNumberFormat="1" applyFont="1" applyFill="1"/>
    <xf numFmtId="165" fontId="24" fillId="0" borderId="0" xfId="0" applyNumberFormat="1" applyFont="1" applyFill="1"/>
    <xf numFmtId="0" fontId="2" fillId="0" borderId="26" xfId="0" applyFont="1" applyBorder="1" applyAlignment="1">
      <alignment vertical="center"/>
    </xf>
    <xf numFmtId="165" fontId="2" fillId="0" borderId="26" xfId="0" applyNumberFormat="1" applyFont="1" applyBorder="1"/>
    <xf numFmtId="0" fontId="2" fillId="0" borderId="26" xfId="0" applyFont="1" applyBorder="1"/>
    <xf numFmtId="0" fontId="2" fillId="0" borderId="5" xfId="0" applyFont="1" applyBorder="1"/>
    <xf numFmtId="165" fontId="2" fillId="0" borderId="5" xfId="0" applyNumberFormat="1" applyFont="1" applyBorder="1"/>
    <xf numFmtId="0" fontId="2" fillId="0" borderId="1" xfId="0" applyFont="1" applyBorder="1" applyAlignment="1">
      <alignment vertical="center"/>
    </xf>
    <xf numFmtId="169" fontId="8" fillId="2" borderId="21" xfId="1" applyNumberFormat="1" applyFont="1" applyFill="1" applyBorder="1"/>
    <xf numFmtId="0" fontId="1" fillId="0" borderId="31" xfId="0" applyFont="1" applyFill="1" applyBorder="1" applyAlignment="1">
      <alignment vertical="center"/>
    </xf>
    <xf numFmtId="0" fontId="1" fillId="0" borderId="0" xfId="0" applyFont="1" applyFill="1" applyBorder="1" applyAlignment="1">
      <alignment vertical="center"/>
    </xf>
    <xf numFmtId="0" fontId="1" fillId="0" borderId="0" xfId="0" applyFont="1" applyBorder="1" applyAlignment="1">
      <alignment vertical="center"/>
    </xf>
    <xf numFmtId="0" fontId="3" fillId="0" borderId="31" xfId="0" applyFont="1" applyBorder="1" applyAlignment="1">
      <alignment vertical="center"/>
    </xf>
    <xf numFmtId="165" fontId="5" fillId="2" borderId="20" xfId="0" applyNumberFormat="1" applyFont="1" applyFill="1" applyBorder="1" applyAlignment="1">
      <alignment horizontal="right" vertical="center"/>
    </xf>
    <xf numFmtId="168" fontId="8" fillId="2" borderId="21" xfId="1" applyNumberFormat="1" applyFont="1" applyFill="1" applyBorder="1"/>
    <xf numFmtId="0" fontId="1" fillId="0" borderId="21" xfId="0" applyFont="1" applyBorder="1" applyAlignment="1">
      <alignment vertical="center"/>
    </xf>
    <xf numFmtId="0" fontId="77" fillId="15" borderId="7" xfId="0" applyFont="1" applyFill="1" applyBorder="1" applyAlignment="1">
      <alignment horizontal="center" vertical="center"/>
    </xf>
    <xf numFmtId="0" fontId="44" fillId="15" borderId="0" xfId="0" applyFont="1" applyFill="1"/>
    <xf numFmtId="0" fontId="2" fillId="3" borderId="21" xfId="0" applyFont="1" applyFill="1" applyBorder="1" applyAlignment="1">
      <alignment horizontal="center" vertical="center"/>
    </xf>
    <xf numFmtId="166" fontId="5" fillId="7" borderId="21" xfId="0" applyNumberFormat="1" applyFont="1" applyFill="1" applyBorder="1" applyAlignment="1">
      <alignment horizontal="right"/>
    </xf>
    <xf numFmtId="0" fontId="2" fillId="0" borderId="0" xfId="0" applyFont="1" applyAlignment="1">
      <alignment horizontal="center"/>
    </xf>
    <xf numFmtId="0" fontId="76" fillId="15" borderId="0" xfId="0" applyFont="1" applyFill="1" applyAlignment="1"/>
    <xf numFmtId="165" fontId="1" fillId="0" borderId="15" xfId="0" applyNumberFormat="1" applyFont="1" applyFill="1" applyBorder="1" applyAlignment="1">
      <alignment horizontal="right" vertical="center"/>
    </xf>
    <xf numFmtId="166" fontId="3" fillId="0" borderId="0" xfId="1" applyNumberFormat="1" applyFont="1"/>
    <xf numFmtId="166" fontId="4" fillId="0" borderId="0" xfId="1" applyNumberFormat="1" applyFont="1" applyAlignment="1">
      <alignment horizontal="center"/>
    </xf>
    <xf numFmtId="165" fontId="22" fillId="0" borderId="0" xfId="0" applyNumberFormat="1" applyFont="1" applyFill="1"/>
    <xf numFmtId="165" fontId="37" fillId="0" borderId="0" xfId="0" applyNumberFormat="1" applyFont="1" applyFill="1"/>
    <xf numFmtId="0" fontId="10" fillId="0" borderId="63" xfId="0" applyFont="1" applyBorder="1" applyAlignment="1">
      <alignment horizontal="left" vertical="center"/>
    </xf>
    <xf numFmtId="0" fontId="10" fillId="0" borderId="66" xfId="0" applyFont="1" applyBorder="1" applyAlignment="1">
      <alignment horizontal="left" vertical="center"/>
    </xf>
    <xf numFmtId="0" fontId="10" fillId="0" borderId="67" xfId="0" applyFont="1" applyBorder="1" applyAlignment="1">
      <alignment horizontal="left" vertical="center"/>
    </xf>
    <xf numFmtId="0" fontId="12" fillId="0" borderId="21" xfId="0" applyNumberFormat="1" applyFont="1" applyFill="1" applyBorder="1" applyAlignment="1">
      <alignment horizontal="center"/>
    </xf>
    <xf numFmtId="0" fontId="52" fillId="0" borderId="0" xfId="0" quotePrefix="1" applyFont="1"/>
    <xf numFmtId="0" fontId="56" fillId="0" borderId="106" xfId="3" applyFont="1" applyBorder="1" applyAlignment="1">
      <alignment vertical="center"/>
    </xf>
    <xf numFmtId="3" fontId="57" fillId="0" borderId="44" xfId="0" applyNumberFormat="1" applyFont="1" applyBorder="1" applyAlignment="1">
      <alignment horizontal="right" vertical="center"/>
    </xf>
    <xf numFmtId="0" fontId="56" fillId="0" borderId="107" xfId="3" applyFont="1" applyBorder="1" applyAlignment="1">
      <alignment vertical="center"/>
    </xf>
    <xf numFmtId="3" fontId="57" fillId="0" borderId="45" xfId="0" applyNumberFormat="1" applyFont="1" applyBorder="1" applyAlignment="1">
      <alignment horizontal="right" vertical="center"/>
    </xf>
    <xf numFmtId="0" fontId="58" fillId="0" borderId="107" xfId="3" applyFont="1" applyBorder="1" applyAlignment="1">
      <alignment vertical="center"/>
    </xf>
    <xf numFmtId="3" fontId="60" fillId="0" borderId="50" xfId="3" applyNumberFormat="1" applyFont="1" applyBorder="1" applyAlignment="1">
      <alignment horizontal="right" vertical="center"/>
    </xf>
    <xf numFmtId="0" fontId="56" fillId="0" borderId="106" xfId="3" applyFont="1" applyBorder="1" applyAlignment="1">
      <alignment horizontal="left" vertical="center"/>
    </xf>
    <xf numFmtId="0" fontId="58" fillId="0" borderId="107" xfId="3" applyFont="1" applyBorder="1" applyAlignment="1">
      <alignment horizontal="left" vertical="center"/>
    </xf>
    <xf numFmtId="0" fontId="58" fillId="0" borderId="108" xfId="3" applyFont="1" applyBorder="1" applyAlignment="1">
      <alignment horizontal="left" vertical="center"/>
    </xf>
    <xf numFmtId="0" fontId="56" fillId="0" borderId="107" xfId="3" applyFont="1" applyBorder="1" applyAlignment="1">
      <alignment horizontal="left" vertical="center"/>
    </xf>
    <xf numFmtId="0" fontId="59" fillId="0" borderId="109" xfId="3" applyFont="1" applyBorder="1" applyAlignment="1">
      <alignment horizontal="left" vertical="center"/>
    </xf>
    <xf numFmtId="3" fontId="60" fillId="0" borderId="110" xfId="3" applyNumberFormat="1" applyFont="1" applyBorder="1" applyAlignment="1">
      <alignment horizontal="right" vertical="center"/>
    </xf>
    <xf numFmtId="3" fontId="62" fillId="0" borderId="87" xfId="3" applyNumberFormat="1" applyFont="1" applyBorder="1" applyAlignment="1">
      <alignment horizontal="right" vertical="center"/>
    </xf>
    <xf numFmtId="3" fontId="62" fillId="0" borderId="77" xfId="3" applyNumberFormat="1" applyFont="1" applyBorder="1" applyAlignment="1">
      <alignment horizontal="right" vertical="center"/>
    </xf>
    <xf numFmtId="3" fontId="62" fillId="0" borderId="79" xfId="3" applyNumberFormat="1" applyFont="1" applyBorder="1" applyAlignment="1">
      <alignment horizontal="right" vertical="center"/>
    </xf>
    <xf numFmtId="0" fontId="61" fillId="0" borderId="0" xfId="3" applyFont="1" applyAlignment="1">
      <alignment horizontal="right" vertical="center"/>
    </xf>
    <xf numFmtId="0" fontId="58" fillId="0" borderId="0" xfId="3" applyFont="1" applyAlignment="1">
      <alignment horizontal="right" vertical="center"/>
    </xf>
    <xf numFmtId="3" fontId="62" fillId="0" borderId="0" xfId="3" applyNumberFormat="1" applyFont="1" applyAlignment="1">
      <alignment horizontal="right" vertical="center"/>
    </xf>
    <xf numFmtId="172" fontId="10" fillId="0" borderId="0" xfId="0" applyNumberFormat="1" applyFont="1"/>
    <xf numFmtId="0" fontId="9" fillId="0" borderId="111" xfId="0" applyFont="1" applyBorder="1" applyAlignment="1">
      <alignment horizontal="left" vertical="center"/>
    </xf>
    <xf numFmtId="0" fontId="9" fillId="0" borderId="112" xfId="0" applyFont="1" applyBorder="1" applyAlignment="1">
      <alignment horizontal="right" vertical="center"/>
    </xf>
    <xf numFmtId="165" fontId="56" fillId="9" borderId="45" xfId="0" applyNumberFormat="1" applyFont="1" applyFill="1" applyBorder="1" applyAlignment="1">
      <alignment horizontal="right" vertical="center"/>
    </xf>
    <xf numFmtId="165" fontId="57" fillId="9" borderId="45" xfId="0" applyNumberFormat="1" applyFont="1" applyFill="1" applyBorder="1" applyAlignment="1">
      <alignment horizontal="right" vertical="center"/>
    </xf>
    <xf numFmtId="165" fontId="57" fillId="0" borderId="0" xfId="0" applyNumberFormat="1" applyFont="1" applyAlignment="1">
      <alignment horizontal="right" vertical="center"/>
    </xf>
    <xf numFmtId="165" fontId="60" fillId="0" borderId="0" xfId="0" applyNumberFormat="1" applyFont="1" applyAlignment="1">
      <alignment horizontal="right" vertical="center"/>
    </xf>
    <xf numFmtId="0" fontId="61" fillId="0" borderId="114" xfId="3" applyFont="1" applyBorder="1" applyAlignment="1">
      <alignment horizontal="right" vertical="center"/>
    </xf>
    <xf numFmtId="0" fontId="58" fillId="0" borderId="115" xfId="3" applyFont="1" applyBorder="1" applyAlignment="1">
      <alignment horizontal="right" vertical="center"/>
    </xf>
    <xf numFmtId="165" fontId="67" fillId="0" borderId="0" xfId="0" applyNumberFormat="1" applyFont="1" applyAlignment="1">
      <alignment horizontal="right" vertical="center"/>
    </xf>
    <xf numFmtId="0" fontId="56" fillId="0" borderId="0" xfId="3" applyFont="1" applyAlignment="1">
      <alignment horizontal="left" vertical="center"/>
    </xf>
    <xf numFmtId="0" fontId="10" fillId="0" borderId="63" xfId="0" applyFont="1" applyBorder="1" applyAlignment="1">
      <alignment vertical="center"/>
    </xf>
    <xf numFmtId="0" fontId="10" fillId="0" borderId="66" xfId="0" applyFont="1" applyBorder="1" applyAlignment="1">
      <alignment vertical="center"/>
    </xf>
    <xf numFmtId="0" fontId="10" fillId="0" borderId="67" xfId="0" applyFont="1" applyBorder="1" applyAlignment="1">
      <alignment vertical="center"/>
    </xf>
    <xf numFmtId="10" fontId="72" fillId="0" borderId="0" xfId="5" applyNumberFormat="1" applyFont="1"/>
    <xf numFmtId="166" fontId="10" fillId="0" borderId="0" xfId="0" applyNumberFormat="1" applyFont="1"/>
    <xf numFmtId="0" fontId="80" fillId="0" borderId="0" xfId="0" applyFont="1"/>
    <xf numFmtId="165" fontId="1" fillId="0" borderId="16" xfId="0" applyNumberFormat="1" applyFont="1" applyFill="1" applyBorder="1" applyAlignment="1">
      <alignment horizontal="right" vertical="center"/>
    </xf>
    <xf numFmtId="165" fontId="1" fillId="0" borderId="22" xfId="0" applyNumberFormat="1" applyFont="1" applyFill="1" applyBorder="1" applyAlignment="1">
      <alignment horizontal="right" vertical="center"/>
    </xf>
    <xf numFmtId="165" fontId="1" fillId="0" borderId="18" xfId="0" applyNumberFormat="1" applyFont="1" applyFill="1" applyBorder="1" applyAlignment="1">
      <alignment horizontal="right" vertical="center"/>
    </xf>
    <xf numFmtId="165" fontId="1" fillId="0" borderId="17" xfId="0" applyNumberFormat="1" applyFont="1" applyFill="1" applyBorder="1" applyAlignment="1">
      <alignment horizontal="right" vertical="center"/>
    </xf>
    <xf numFmtId="165" fontId="1" fillId="0" borderId="31" xfId="0" applyNumberFormat="1" applyFont="1" applyFill="1" applyBorder="1" applyAlignment="1">
      <alignment horizontal="right" vertical="center"/>
    </xf>
    <xf numFmtId="165" fontId="1" fillId="0" borderId="98" xfId="0" applyNumberFormat="1" applyFont="1" applyFill="1" applyBorder="1" applyAlignment="1">
      <alignment horizontal="right" vertical="center"/>
    </xf>
    <xf numFmtId="167" fontId="82" fillId="0" borderId="15" xfId="0" applyNumberFormat="1" applyFont="1" applyFill="1" applyBorder="1" applyAlignment="1">
      <alignment horizontal="right" vertical="center"/>
    </xf>
    <xf numFmtId="167" fontId="82" fillId="0" borderId="17" xfId="0" applyNumberFormat="1" applyFont="1" applyFill="1" applyBorder="1" applyAlignment="1">
      <alignment horizontal="right" vertical="center"/>
    </xf>
    <xf numFmtId="167" fontId="82" fillId="0" borderId="18" xfId="0" applyNumberFormat="1" applyFont="1" applyFill="1" applyBorder="1" applyAlignment="1">
      <alignment horizontal="right" vertical="center"/>
    </xf>
    <xf numFmtId="167" fontId="82" fillId="0" borderId="31" xfId="0" applyNumberFormat="1" applyFont="1" applyFill="1" applyBorder="1" applyAlignment="1">
      <alignment horizontal="right" vertical="center"/>
    </xf>
    <xf numFmtId="167" fontId="82" fillId="0" borderId="16" xfId="0" applyNumberFormat="1" applyFont="1" applyFill="1" applyBorder="1" applyAlignment="1">
      <alignment vertical="center"/>
    </xf>
    <xf numFmtId="0" fontId="28" fillId="0" borderId="0" xfId="0" applyFont="1" applyFill="1"/>
    <xf numFmtId="165" fontId="42" fillId="0" borderId="0" xfId="0" applyNumberFormat="1" applyFont="1" applyFill="1"/>
    <xf numFmtId="165" fontId="19" fillId="0" borderId="0" xfId="0" applyNumberFormat="1" applyFont="1" applyFill="1"/>
    <xf numFmtId="165" fontId="21" fillId="0" borderId="0" xfId="0" applyNumberFormat="1" applyFont="1" applyFill="1"/>
    <xf numFmtId="165" fontId="23" fillId="0" borderId="0" xfId="0" applyNumberFormat="1" applyFont="1" applyFill="1"/>
    <xf numFmtId="165" fontId="25" fillId="0" borderId="0" xfId="0" applyNumberFormat="1" applyFont="1" applyFill="1"/>
    <xf numFmtId="165" fontId="38" fillId="0" borderId="0" xfId="0" applyNumberFormat="1" applyFont="1" applyFill="1"/>
    <xf numFmtId="168" fontId="68" fillId="15" borderId="21" xfId="0" applyNumberFormat="1" applyFont="1" applyFill="1" applyBorder="1"/>
    <xf numFmtId="165" fontId="83" fillId="0" borderId="21" xfId="0" applyNumberFormat="1" applyFont="1" applyFill="1" applyBorder="1"/>
    <xf numFmtId="165" fontId="83" fillId="8" borderId="21" xfId="0" applyNumberFormat="1" applyFont="1" applyFill="1" applyBorder="1"/>
    <xf numFmtId="168" fontId="83" fillId="0" borderId="21" xfId="0" applyNumberFormat="1" applyFont="1" applyFill="1" applyBorder="1"/>
    <xf numFmtId="165" fontId="26" fillId="0" borderId="21" xfId="0" applyNumberFormat="1" applyFont="1" applyFill="1" applyBorder="1" applyAlignment="1">
      <alignment horizontal="right"/>
    </xf>
    <xf numFmtId="3" fontId="56" fillId="12" borderId="45" xfId="0" applyNumberFormat="1" applyFont="1" applyFill="1" applyBorder="1" applyAlignment="1">
      <alignment horizontal="right" vertical="center"/>
    </xf>
    <xf numFmtId="3" fontId="57" fillId="12" borderId="47" xfId="0" applyNumberFormat="1" applyFont="1" applyFill="1" applyBorder="1" applyAlignment="1">
      <alignment horizontal="right" vertical="center"/>
    </xf>
    <xf numFmtId="3" fontId="60" fillId="12" borderId="50" xfId="3" applyNumberFormat="1" applyFont="1" applyFill="1" applyBorder="1" applyAlignment="1">
      <alignment horizontal="right" vertical="center"/>
    </xf>
    <xf numFmtId="3" fontId="56" fillId="12" borderId="44" xfId="0" applyNumberFormat="1" applyFont="1" applyFill="1" applyBorder="1" applyAlignment="1">
      <alignment horizontal="right" vertical="center"/>
    </xf>
    <xf numFmtId="3" fontId="60" fillId="12" borderId="110" xfId="3" applyNumberFormat="1" applyFont="1" applyFill="1" applyBorder="1" applyAlignment="1">
      <alignment horizontal="right" vertical="center"/>
    </xf>
    <xf numFmtId="3" fontId="62" fillId="12" borderId="87" xfId="3" applyNumberFormat="1" applyFont="1" applyFill="1" applyBorder="1" applyAlignment="1">
      <alignment horizontal="right" vertical="center"/>
    </xf>
    <xf numFmtId="3" fontId="62" fillId="12" borderId="77" xfId="3" applyNumberFormat="1" applyFont="1" applyFill="1" applyBorder="1" applyAlignment="1">
      <alignment horizontal="right" vertical="center"/>
    </xf>
    <xf numFmtId="3" fontId="62" fillId="12" borderId="79" xfId="3" applyNumberFormat="1" applyFont="1" applyFill="1" applyBorder="1" applyAlignment="1">
      <alignment horizontal="right" vertical="center"/>
    </xf>
    <xf numFmtId="0" fontId="55" fillId="17" borderId="100" xfId="3" applyFont="1" applyFill="1" applyBorder="1" applyAlignment="1">
      <alignment horizontal="center" vertical="center"/>
    </xf>
    <xf numFmtId="0" fontId="55" fillId="17" borderId="42" xfId="3" applyFont="1" applyFill="1" applyBorder="1" applyAlignment="1">
      <alignment horizontal="center" vertical="center"/>
    </xf>
    <xf numFmtId="0" fontId="55" fillId="17" borderId="105" xfId="3" applyFont="1" applyFill="1" applyBorder="1" applyAlignment="1">
      <alignment horizontal="center" vertical="center"/>
    </xf>
    <xf numFmtId="0" fontId="9" fillId="0" borderId="61" xfId="0" applyFont="1" applyFill="1" applyBorder="1" applyAlignment="1">
      <alignment horizontal="center" vertical="center"/>
    </xf>
    <xf numFmtId="0" fontId="9" fillId="0" borderId="60" xfId="0" applyFont="1" applyFill="1" applyBorder="1" applyAlignment="1">
      <alignment horizontal="center" vertical="center"/>
    </xf>
    <xf numFmtId="172" fontId="9" fillId="0" borderId="65" xfId="4" applyNumberFormat="1" applyFont="1" applyFill="1" applyBorder="1" applyAlignment="1">
      <alignment horizontal="right" vertical="center"/>
    </xf>
    <xf numFmtId="3" fontId="62" fillId="0" borderId="80" xfId="3" applyNumberFormat="1" applyFont="1" applyFill="1" applyBorder="1" applyAlignment="1">
      <alignment horizontal="right" vertical="center"/>
    </xf>
    <xf numFmtId="3" fontId="62" fillId="0" borderId="81" xfId="3" applyNumberFormat="1" applyFont="1" applyFill="1" applyBorder="1" applyAlignment="1">
      <alignment horizontal="right" vertical="center"/>
    </xf>
    <xf numFmtId="172" fontId="10" fillId="0" borderId="65" xfId="4" applyNumberFormat="1" applyFont="1" applyFill="1" applyBorder="1" applyAlignment="1">
      <alignment horizontal="right" vertical="center"/>
    </xf>
    <xf numFmtId="171" fontId="10" fillId="0" borderId="47" xfId="0" applyNumberFormat="1" applyFont="1" applyFill="1" applyBorder="1" applyAlignment="1">
      <alignment horizontal="right" vertical="center" wrapText="1"/>
    </xf>
    <xf numFmtId="171" fontId="26" fillId="0" borderId="65" xfId="0" applyNumberFormat="1" applyFont="1" applyFill="1" applyBorder="1" applyAlignment="1">
      <alignment horizontal="right" vertical="center" wrapText="1"/>
    </xf>
    <xf numFmtId="173" fontId="26" fillId="0" borderId="65" xfId="0" applyNumberFormat="1" applyFont="1" applyFill="1" applyBorder="1" applyAlignment="1">
      <alignment horizontal="right" vertical="center" wrapText="1"/>
    </xf>
    <xf numFmtId="172" fontId="11" fillId="0" borderId="68" xfId="4" applyNumberFormat="1" applyFont="1" applyFill="1" applyBorder="1" applyAlignment="1">
      <alignment horizontal="right" vertical="center"/>
    </xf>
    <xf numFmtId="171" fontId="9" fillId="0" borderId="69" xfId="0" applyNumberFormat="1" applyFont="1" applyFill="1" applyBorder="1" applyAlignment="1">
      <alignment horizontal="right" vertical="center" wrapText="1"/>
    </xf>
    <xf numFmtId="171" fontId="17" fillId="0" borderId="72" xfId="0" applyNumberFormat="1" applyFont="1" applyFill="1" applyBorder="1" applyAlignment="1">
      <alignment horizontal="right" vertical="center" wrapText="1"/>
    </xf>
    <xf numFmtId="175" fontId="17" fillId="0" borderId="72" xfId="0" applyNumberFormat="1" applyFont="1" applyFill="1" applyBorder="1" applyAlignment="1">
      <alignment horizontal="right" vertical="center" wrapText="1"/>
    </xf>
    <xf numFmtId="172" fontId="10" fillId="0" borderId="62" xfId="4" applyNumberFormat="1" applyFont="1" applyFill="1" applyBorder="1" applyAlignment="1">
      <alignment horizontal="right" vertical="center"/>
    </xf>
    <xf numFmtId="172" fontId="11" fillId="0" borderId="62" xfId="4" applyNumberFormat="1" applyFont="1" applyFill="1" applyBorder="1" applyAlignment="1">
      <alignment horizontal="right" vertical="center"/>
    </xf>
    <xf numFmtId="171" fontId="9" fillId="0" borderId="47" xfId="0" applyNumberFormat="1" applyFont="1" applyFill="1" applyBorder="1" applyAlignment="1">
      <alignment horizontal="right" vertical="center" wrapText="1"/>
    </xf>
    <xf numFmtId="171" fontId="17" fillId="0" borderId="65" xfId="0" applyNumberFormat="1" applyFont="1" applyFill="1" applyBorder="1" applyAlignment="1">
      <alignment horizontal="right" vertical="center" wrapText="1"/>
    </xf>
    <xf numFmtId="173" fontId="17" fillId="0" borderId="65" xfId="0" applyNumberFormat="1" applyFont="1" applyFill="1" applyBorder="1" applyAlignment="1">
      <alignment horizontal="right" vertical="center" wrapText="1"/>
    </xf>
    <xf numFmtId="171" fontId="11" fillId="0" borderId="83" xfId="0" applyNumberFormat="1" applyFont="1" applyFill="1" applyBorder="1" applyAlignment="1">
      <alignment horizontal="right" vertical="center"/>
    </xf>
    <xf numFmtId="171" fontId="17" fillId="0" borderId="80" xfId="0" applyNumberFormat="1" applyFont="1" applyFill="1" applyBorder="1" applyAlignment="1">
      <alignment horizontal="right" vertical="center" wrapText="1"/>
    </xf>
    <xf numFmtId="173" fontId="17" fillId="0" borderId="80" xfId="0" applyNumberFormat="1" applyFont="1" applyFill="1" applyBorder="1" applyAlignment="1">
      <alignment horizontal="right" vertical="center" wrapText="1"/>
    </xf>
    <xf numFmtId="171" fontId="11" fillId="0" borderId="85" xfId="0" applyNumberFormat="1" applyFont="1" applyFill="1" applyBorder="1" applyAlignment="1">
      <alignment horizontal="right" vertical="center"/>
    </xf>
    <xf numFmtId="171" fontId="17" fillId="0" borderId="81" xfId="0" applyNumberFormat="1" applyFont="1" applyFill="1" applyBorder="1" applyAlignment="1">
      <alignment horizontal="right" vertical="center" wrapText="1"/>
    </xf>
    <xf numFmtId="173" fontId="17" fillId="0" borderId="81" xfId="0" applyNumberFormat="1" applyFont="1" applyFill="1" applyBorder="1" applyAlignment="1">
      <alignment horizontal="right" vertical="center" wrapText="1"/>
    </xf>
    <xf numFmtId="172" fontId="10" fillId="12" borderId="65" xfId="4" applyNumberFormat="1" applyFont="1" applyFill="1" applyBorder="1" applyAlignment="1">
      <alignment horizontal="right" vertical="center"/>
    </xf>
    <xf numFmtId="171" fontId="10" fillId="12" borderId="47" xfId="0" applyNumberFormat="1" applyFont="1" applyFill="1" applyBorder="1" applyAlignment="1">
      <alignment horizontal="right" vertical="center" wrapText="1"/>
    </xf>
    <xf numFmtId="171" fontId="10" fillId="12" borderId="64" xfId="0" applyNumberFormat="1" applyFont="1" applyFill="1" applyBorder="1" applyAlignment="1">
      <alignment horizontal="right" vertical="center" wrapText="1"/>
    </xf>
    <xf numFmtId="172" fontId="11" fillId="12" borderId="68" xfId="4" applyNumberFormat="1" applyFont="1" applyFill="1" applyBorder="1" applyAlignment="1">
      <alignment horizontal="right" vertical="center"/>
    </xf>
    <xf numFmtId="171" fontId="9" fillId="12" borderId="69" xfId="0" applyNumberFormat="1" applyFont="1" applyFill="1" applyBorder="1" applyAlignment="1">
      <alignment horizontal="right" vertical="center" wrapText="1"/>
    </xf>
    <xf numFmtId="171" fontId="9" fillId="12" borderId="70" xfId="0" applyNumberFormat="1" applyFont="1" applyFill="1" applyBorder="1" applyAlignment="1">
      <alignment horizontal="right" vertical="center" wrapText="1"/>
    </xf>
    <xf numFmtId="171" fontId="9" fillId="12" borderId="71" xfId="0" applyNumberFormat="1" applyFont="1" applyFill="1" applyBorder="1" applyAlignment="1">
      <alignment horizontal="right" vertical="center" wrapText="1"/>
    </xf>
    <xf numFmtId="172" fontId="10" fillId="12" borderId="62" xfId="4" applyNumberFormat="1" applyFont="1" applyFill="1" applyBorder="1" applyAlignment="1">
      <alignment horizontal="right" vertical="center"/>
    </xf>
    <xf numFmtId="172" fontId="11" fillId="12" borderId="62" xfId="4" applyNumberFormat="1" applyFont="1" applyFill="1" applyBorder="1" applyAlignment="1">
      <alignment horizontal="right" vertical="center"/>
    </xf>
    <xf numFmtId="172" fontId="9" fillId="12" borderId="65" xfId="4" applyNumberFormat="1" applyFont="1" applyFill="1" applyBorder="1" applyAlignment="1">
      <alignment horizontal="right" vertical="center"/>
    </xf>
    <xf numFmtId="171" fontId="9" fillId="12" borderId="47" xfId="0" applyNumberFormat="1" applyFont="1" applyFill="1" applyBorder="1" applyAlignment="1">
      <alignment horizontal="right" vertical="center" wrapText="1"/>
    </xf>
    <xf numFmtId="171" fontId="9" fillId="12" borderId="64" xfId="0" applyNumberFormat="1" applyFont="1" applyFill="1" applyBorder="1" applyAlignment="1">
      <alignment horizontal="right" vertical="center" wrapText="1"/>
    </xf>
    <xf numFmtId="3" fontId="62" fillId="12" borderId="80" xfId="3" applyNumberFormat="1" applyFont="1" applyFill="1" applyBorder="1" applyAlignment="1">
      <alignment horizontal="right" vertical="center"/>
    </xf>
    <xf numFmtId="171" fontId="11" fillId="12" borderId="83" xfId="0" applyNumberFormat="1" applyFont="1" applyFill="1" applyBorder="1" applyAlignment="1">
      <alignment horizontal="right" vertical="center"/>
    </xf>
    <xf numFmtId="171" fontId="11" fillId="12" borderId="84" xfId="0" applyNumberFormat="1" applyFont="1" applyFill="1" applyBorder="1" applyAlignment="1">
      <alignment horizontal="right" vertical="center"/>
    </xf>
    <xf numFmtId="3" fontId="62" fillId="12" borderId="81" xfId="3" applyNumberFormat="1" applyFont="1" applyFill="1" applyBorder="1" applyAlignment="1">
      <alignment horizontal="right" vertical="center"/>
    </xf>
    <xf numFmtId="171" fontId="11" fillId="12" borderId="85" xfId="0" applyNumberFormat="1" applyFont="1" applyFill="1" applyBorder="1" applyAlignment="1">
      <alignment horizontal="right" vertical="center"/>
    </xf>
    <xf numFmtId="171" fontId="11" fillId="12" borderId="86" xfId="0" applyNumberFormat="1" applyFont="1" applyFill="1" applyBorder="1" applyAlignment="1">
      <alignment horizontal="right" vertical="center"/>
    </xf>
    <xf numFmtId="0" fontId="77" fillId="17" borderId="61" xfId="0" applyFont="1" applyFill="1" applyBorder="1" applyAlignment="1">
      <alignment horizontal="center" vertical="center"/>
    </xf>
    <xf numFmtId="0" fontId="54" fillId="17" borderId="23" xfId="0" applyFont="1" applyFill="1" applyBorder="1" applyAlignment="1">
      <alignment horizontal="center" vertical="center"/>
    </xf>
    <xf numFmtId="0" fontId="55" fillId="17" borderId="38" xfId="3" applyFont="1" applyFill="1" applyBorder="1" applyAlignment="1">
      <alignment horizontal="center" vertical="center"/>
    </xf>
    <xf numFmtId="0" fontId="54" fillId="17" borderId="41" xfId="0" applyFont="1" applyFill="1" applyBorder="1" applyAlignment="1">
      <alignment horizontal="center" vertical="center"/>
    </xf>
    <xf numFmtId="165" fontId="56" fillId="12" borderId="45" xfId="0" applyNumberFormat="1" applyFont="1" applyFill="1" applyBorder="1" applyAlignment="1">
      <alignment horizontal="right" vertical="center"/>
    </xf>
    <xf numFmtId="165" fontId="57" fillId="12" borderId="45" xfId="0" applyNumberFormat="1" applyFont="1" applyFill="1" applyBorder="1" applyAlignment="1">
      <alignment horizontal="right" vertical="center"/>
    </xf>
    <xf numFmtId="165" fontId="56" fillId="12" borderId="75" xfId="0" applyNumberFormat="1" applyFont="1" applyFill="1" applyBorder="1" applyAlignment="1">
      <alignment horizontal="right" vertical="center"/>
    </xf>
    <xf numFmtId="165" fontId="57" fillId="12" borderId="75" xfId="0" applyNumberFormat="1" applyFont="1" applyFill="1" applyBorder="1" applyAlignment="1">
      <alignment horizontal="right" vertical="center"/>
    </xf>
    <xf numFmtId="165" fontId="59" fillId="12" borderId="45" xfId="0" applyNumberFormat="1" applyFont="1" applyFill="1" applyBorder="1" applyAlignment="1">
      <alignment horizontal="right" vertical="center"/>
    </xf>
    <xf numFmtId="165" fontId="60" fillId="12" borderId="45" xfId="0" applyNumberFormat="1" applyFont="1" applyFill="1" applyBorder="1" applyAlignment="1">
      <alignment horizontal="right" vertical="center"/>
    </xf>
    <xf numFmtId="165" fontId="56" fillId="12" borderId="73" xfId="0" applyNumberFormat="1" applyFont="1" applyFill="1" applyBorder="1" applyAlignment="1">
      <alignment horizontal="right" vertical="center"/>
    </xf>
    <xf numFmtId="165" fontId="57" fillId="12" borderId="73" xfId="0" applyNumberFormat="1" applyFont="1" applyFill="1" applyBorder="1" applyAlignment="1">
      <alignment horizontal="right" vertical="center"/>
    </xf>
    <xf numFmtId="165" fontId="56" fillId="12" borderId="74" xfId="0" applyNumberFormat="1" applyFont="1" applyFill="1" applyBorder="1" applyAlignment="1">
      <alignment horizontal="right" vertical="center"/>
    </xf>
    <xf numFmtId="165" fontId="57" fillId="12" borderId="74" xfId="0" applyNumberFormat="1" applyFont="1" applyFill="1" applyBorder="1" applyAlignment="1">
      <alignment horizontal="right" vertical="center"/>
    </xf>
    <xf numFmtId="165" fontId="67" fillId="12" borderId="51" xfId="0" applyNumberFormat="1" applyFont="1" applyFill="1" applyBorder="1" applyAlignment="1">
      <alignment horizontal="right" vertical="center"/>
    </xf>
    <xf numFmtId="0" fontId="9" fillId="0" borderId="59" xfId="0" applyFont="1" applyFill="1" applyBorder="1" applyAlignment="1">
      <alignment horizontal="center" vertical="center"/>
    </xf>
    <xf numFmtId="2" fontId="63" fillId="0" borderId="65" xfId="0" applyNumberFormat="1" applyFont="1" applyFill="1" applyBorder="1" applyAlignment="1">
      <alignment horizontal="right" vertical="center"/>
    </xf>
    <xf numFmtId="171" fontId="63" fillId="0" borderId="65" xfId="0" applyNumberFormat="1" applyFont="1" applyFill="1" applyBorder="1" applyAlignment="1">
      <alignment horizontal="right" vertical="center"/>
    </xf>
    <xf numFmtId="2" fontId="64" fillId="0" borderId="65" xfId="0" applyNumberFormat="1" applyFont="1" applyFill="1" applyBorder="1" applyAlignment="1">
      <alignment horizontal="right" vertical="center"/>
    </xf>
    <xf numFmtId="171" fontId="64" fillId="0" borderId="65" xfId="0" applyNumberFormat="1" applyFont="1" applyFill="1" applyBorder="1" applyAlignment="1">
      <alignment horizontal="right" vertical="center"/>
    </xf>
    <xf numFmtId="2" fontId="65" fillId="0" borderId="118" xfId="0" applyNumberFormat="1" applyFont="1" applyFill="1" applyBorder="1" applyAlignment="1">
      <alignment horizontal="right" vertical="center"/>
    </xf>
    <xf numFmtId="171" fontId="65" fillId="0" borderId="118" xfId="0" applyNumberFormat="1" applyFont="1" applyFill="1" applyBorder="1" applyAlignment="1">
      <alignment horizontal="right" vertical="center"/>
    </xf>
    <xf numFmtId="171" fontId="26" fillId="0" borderId="118" xfId="0" applyNumberFormat="1" applyFont="1" applyFill="1" applyBorder="1" applyAlignment="1">
      <alignment horizontal="right" vertical="center" wrapText="1"/>
    </xf>
    <xf numFmtId="165" fontId="67" fillId="0" borderId="0" xfId="0" applyNumberFormat="1" applyFont="1" applyFill="1" applyAlignment="1">
      <alignment horizontal="right" vertical="center"/>
    </xf>
    <xf numFmtId="0" fontId="84" fillId="0" borderId="61" xfId="0" applyFont="1" applyFill="1" applyBorder="1" applyAlignment="1">
      <alignment horizontal="center" vertical="center"/>
    </xf>
    <xf numFmtId="3" fontId="83" fillId="0" borderId="65" xfId="0" applyNumberFormat="1" applyFont="1" applyFill="1" applyBorder="1" applyAlignment="1">
      <alignment horizontal="right" vertical="center"/>
    </xf>
    <xf numFmtId="171" fontId="83" fillId="0" borderId="65" xfId="0" applyNumberFormat="1" applyFont="1" applyFill="1" applyBorder="1" applyAlignment="1">
      <alignment horizontal="right" vertical="center"/>
    </xf>
    <xf numFmtId="171" fontId="88" fillId="0" borderId="65" xfId="0" applyNumberFormat="1" applyFont="1" applyFill="1" applyBorder="1" applyAlignment="1">
      <alignment horizontal="right" vertical="center" wrapText="1"/>
    </xf>
    <xf numFmtId="173" fontId="88" fillId="0" borderId="65" xfId="0" applyNumberFormat="1" applyFont="1" applyFill="1" applyBorder="1" applyAlignment="1">
      <alignment horizontal="right" vertical="center" wrapText="1"/>
    </xf>
    <xf numFmtId="3" fontId="86" fillId="0" borderId="68" xfId="0" applyNumberFormat="1" applyFont="1" applyFill="1" applyBorder="1" applyAlignment="1">
      <alignment horizontal="right" vertical="center"/>
    </xf>
    <xf numFmtId="171" fontId="86" fillId="0" borderId="65" xfId="0" applyNumberFormat="1" applyFont="1" applyFill="1" applyBorder="1" applyAlignment="1">
      <alignment horizontal="right" vertical="center"/>
    </xf>
    <xf numFmtId="171" fontId="87" fillId="0" borderId="72" xfId="0" applyNumberFormat="1" applyFont="1" applyFill="1" applyBorder="1" applyAlignment="1">
      <alignment horizontal="right" vertical="center" wrapText="1"/>
    </xf>
    <xf numFmtId="173" fontId="87" fillId="0" borderId="65" xfId="0" applyNumberFormat="1" applyFont="1" applyFill="1" applyBorder="1" applyAlignment="1">
      <alignment horizontal="right" vertical="center" wrapText="1"/>
    </xf>
    <xf numFmtId="3" fontId="83" fillId="0" borderId="62" xfId="0" applyNumberFormat="1" applyFont="1" applyFill="1" applyBorder="1" applyAlignment="1">
      <alignment horizontal="right" vertical="center"/>
    </xf>
    <xf numFmtId="3" fontId="86" fillId="0" borderId="62" xfId="0" applyNumberFormat="1" applyFont="1" applyFill="1" applyBorder="1" applyAlignment="1">
      <alignment horizontal="right" vertical="center"/>
    </xf>
    <xf numFmtId="3" fontId="84" fillId="0" borderId="65" xfId="0" applyNumberFormat="1" applyFont="1" applyFill="1" applyBorder="1" applyAlignment="1">
      <alignment horizontal="right" vertical="center"/>
    </xf>
    <xf numFmtId="171" fontId="84" fillId="0" borderId="65" xfId="0" applyNumberFormat="1" applyFont="1" applyFill="1" applyBorder="1" applyAlignment="1">
      <alignment horizontal="right" vertical="center"/>
    </xf>
    <xf numFmtId="171" fontId="87" fillId="0" borderId="65" xfId="0" applyNumberFormat="1" applyFont="1" applyFill="1" applyBorder="1" applyAlignment="1">
      <alignment horizontal="right" vertical="center" wrapText="1"/>
    </xf>
    <xf numFmtId="3" fontId="83" fillId="0" borderId="88" xfId="0" applyNumberFormat="1" applyFont="1" applyFill="1" applyBorder="1" applyAlignment="1">
      <alignment horizontal="right" vertical="center"/>
    </xf>
    <xf numFmtId="171" fontId="83" fillId="0" borderId="89" xfId="0" applyNumberFormat="1" applyFont="1" applyFill="1" applyBorder="1" applyAlignment="1">
      <alignment horizontal="right" vertical="center"/>
    </xf>
    <xf numFmtId="171" fontId="88" fillId="0" borderId="89" xfId="0" applyNumberFormat="1" applyFont="1" applyFill="1" applyBorder="1" applyAlignment="1">
      <alignment horizontal="right" vertical="center" wrapText="1"/>
    </xf>
    <xf numFmtId="173" fontId="88" fillId="0" borderId="91" xfId="0" applyNumberFormat="1" applyFont="1" applyFill="1" applyBorder="1" applyAlignment="1">
      <alignment horizontal="right" vertical="center" wrapText="1"/>
    </xf>
    <xf numFmtId="3" fontId="84" fillId="0" borderId="92" xfId="0" applyNumberFormat="1" applyFont="1" applyFill="1" applyBorder="1" applyAlignment="1">
      <alignment horizontal="right" vertical="center"/>
    </xf>
    <xf numFmtId="171" fontId="84" fillId="0" borderId="92" xfId="0" applyNumberFormat="1" applyFont="1" applyFill="1" applyBorder="1" applyAlignment="1">
      <alignment horizontal="right" vertical="center"/>
    </xf>
    <xf numFmtId="171" fontId="88" fillId="0" borderId="92" xfId="0" applyNumberFormat="1" applyFont="1" applyFill="1" applyBorder="1" applyAlignment="1">
      <alignment horizontal="right" vertical="center" wrapText="1"/>
    </xf>
    <xf numFmtId="173" fontId="88" fillId="0" borderId="95" xfId="0" applyNumberFormat="1" applyFont="1" applyFill="1" applyBorder="1" applyAlignment="1">
      <alignment horizontal="right" vertical="center" wrapText="1"/>
    </xf>
    <xf numFmtId="3" fontId="83" fillId="12" borderId="65" xfId="0" applyNumberFormat="1" applyFont="1" applyFill="1" applyBorder="1" applyAlignment="1">
      <alignment horizontal="right" vertical="center"/>
    </xf>
    <xf numFmtId="171" fontId="83" fillId="12" borderId="47" xfId="0" applyNumberFormat="1" applyFont="1" applyFill="1" applyBorder="1" applyAlignment="1">
      <alignment horizontal="right" vertical="center" wrapText="1"/>
    </xf>
    <xf numFmtId="171" fontId="83" fillId="12" borderId="64" xfId="0" applyNumberFormat="1" applyFont="1" applyFill="1" applyBorder="1" applyAlignment="1">
      <alignment horizontal="right" vertical="center" wrapText="1"/>
    </xf>
    <xf numFmtId="3" fontId="86" fillId="12" borderId="68" xfId="0" applyNumberFormat="1" applyFont="1" applyFill="1" applyBorder="1" applyAlignment="1">
      <alignment horizontal="right" vertical="center"/>
    </xf>
    <xf numFmtId="171" fontId="84" fillId="12" borderId="69" xfId="0" applyNumberFormat="1" applyFont="1" applyFill="1" applyBorder="1" applyAlignment="1">
      <alignment horizontal="right" vertical="center" wrapText="1"/>
    </xf>
    <xf numFmtId="171" fontId="84" fillId="12" borderId="70" xfId="0" applyNumberFormat="1" applyFont="1" applyFill="1" applyBorder="1" applyAlignment="1">
      <alignment horizontal="right" vertical="center" wrapText="1"/>
    </xf>
    <xf numFmtId="171" fontId="84" fillId="12" borderId="71" xfId="0" applyNumberFormat="1" applyFont="1" applyFill="1" applyBorder="1" applyAlignment="1">
      <alignment horizontal="right" vertical="center" wrapText="1"/>
    </xf>
    <xf numFmtId="3" fontId="83" fillId="12" borderId="62" xfId="0" applyNumberFormat="1" applyFont="1" applyFill="1" applyBorder="1" applyAlignment="1">
      <alignment horizontal="right" vertical="center"/>
    </xf>
    <xf numFmtId="3" fontId="86" fillId="12" borderId="62" xfId="0" applyNumberFormat="1" applyFont="1" applyFill="1" applyBorder="1" applyAlignment="1">
      <alignment horizontal="right" vertical="center"/>
    </xf>
    <xf numFmtId="3" fontId="84" fillId="12" borderId="127" xfId="0" applyNumberFormat="1" applyFont="1" applyFill="1" applyBorder="1" applyAlignment="1">
      <alignment horizontal="right" vertical="center"/>
    </xf>
    <xf numFmtId="171" fontId="84" fillId="12" borderId="47" xfId="0" applyNumberFormat="1" applyFont="1" applyFill="1" applyBorder="1" applyAlignment="1">
      <alignment horizontal="right" vertical="center" wrapText="1"/>
    </xf>
    <xf numFmtId="171" fontId="84" fillId="12" borderId="64" xfId="0" applyNumberFormat="1" applyFont="1" applyFill="1" applyBorder="1" applyAlignment="1">
      <alignment horizontal="right" vertical="center" wrapText="1"/>
    </xf>
    <xf numFmtId="171" fontId="83" fillId="12" borderId="90" xfId="0" applyNumberFormat="1" applyFont="1" applyFill="1" applyBorder="1" applyAlignment="1">
      <alignment horizontal="right" vertical="center" wrapText="1"/>
    </xf>
    <xf numFmtId="171" fontId="83" fillId="12" borderId="88" xfId="0" applyNumberFormat="1" applyFont="1" applyFill="1" applyBorder="1" applyAlignment="1">
      <alignment horizontal="right" vertical="center" wrapText="1"/>
    </xf>
    <xf numFmtId="1" fontId="84" fillId="12" borderId="92" xfId="0" applyNumberFormat="1" applyFont="1" applyFill="1" applyBorder="1" applyAlignment="1">
      <alignment horizontal="right" vertical="center"/>
    </xf>
    <xf numFmtId="171" fontId="84" fillId="12" borderId="93" xfId="0" applyNumberFormat="1" applyFont="1" applyFill="1" applyBorder="1" applyAlignment="1">
      <alignment horizontal="right" vertical="center" wrapText="1"/>
    </xf>
    <xf numFmtId="166" fontId="84" fillId="12" borderId="94" xfId="1" applyNumberFormat="1" applyFont="1" applyFill="1" applyBorder="1" applyAlignment="1">
      <alignment horizontal="right" vertical="center" wrapText="1"/>
    </xf>
    <xf numFmtId="3" fontId="89" fillId="0" borderId="45" xfId="0" applyNumberFormat="1" applyFont="1" applyFill="1" applyBorder="1" applyAlignment="1">
      <alignment horizontal="right" vertical="center"/>
    </xf>
    <xf numFmtId="3" fontId="90" fillId="0" borderId="50" xfId="3" applyNumberFormat="1" applyFont="1" applyFill="1" applyBorder="1" applyAlignment="1">
      <alignment horizontal="right" vertical="center"/>
    </xf>
    <xf numFmtId="3" fontId="89" fillId="0" borderId="44" xfId="0" applyNumberFormat="1" applyFont="1" applyFill="1" applyBorder="1" applyAlignment="1">
      <alignment horizontal="right" vertical="center"/>
    </xf>
    <xf numFmtId="3" fontId="90" fillId="0" borderId="110" xfId="3" applyNumberFormat="1" applyFont="1" applyFill="1" applyBorder="1" applyAlignment="1">
      <alignment horizontal="right" vertical="center"/>
    </xf>
    <xf numFmtId="3" fontId="91" fillId="0" borderId="123" xfId="3" applyNumberFormat="1" applyFont="1" applyFill="1" applyBorder="1" applyAlignment="1">
      <alignment horizontal="right" vertical="center"/>
    </xf>
    <xf numFmtId="3" fontId="91" fillId="0" borderId="124" xfId="3" applyNumberFormat="1" applyFont="1" applyFill="1" applyBorder="1" applyAlignment="1">
      <alignment horizontal="right" vertical="center"/>
    </xf>
    <xf numFmtId="3" fontId="91" fillId="0" borderId="77" xfId="3" applyNumberFormat="1" applyFont="1" applyFill="1" applyBorder="1" applyAlignment="1">
      <alignment horizontal="right" vertical="center"/>
    </xf>
    <xf numFmtId="3" fontId="91" fillId="0" borderId="79" xfId="3" applyNumberFormat="1" applyFont="1" applyFill="1" applyBorder="1" applyAlignment="1">
      <alignment horizontal="right" vertical="center"/>
    </xf>
    <xf numFmtId="3" fontId="89" fillId="12" borderId="47" xfId="0" applyNumberFormat="1" applyFont="1" applyFill="1" applyBorder="1" applyAlignment="1">
      <alignment horizontal="right" vertical="center"/>
    </xf>
    <xf numFmtId="3" fontId="90" fillId="12" borderId="50" xfId="3" applyNumberFormat="1" applyFont="1" applyFill="1" applyBorder="1" applyAlignment="1">
      <alignment horizontal="right" vertical="center"/>
    </xf>
    <xf numFmtId="3" fontId="90" fillId="12" borderId="110" xfId="3" applyNumberFormat="1" applyFont="1" applyFill="1" applyBorder="1" applyAlignment="1">
      <alignment horizontal="right" vertical="center"/>
    </xf>
    <xf numFmtId="3" fontId="91" fillId="12" borderId="124" xfId="3" applyNumberFormat="1" applyFont="1" applyFill="1" applyBorder="1" applyAlignment="1">
      <alignment horizontal="right" vertical="center"/>
    </xf>
    <xf numFmtId="3" fontId="91" fillId="12" borderId="77" xfId="3" applyNumberFormat="1" applyFont="1" applyFill="1" applyBorder="1" applyAlignment="1">
      <alignment horizontal="right" vertical="center"/>
    </xf>
    <xf numFmtId="3" fontId="91" fillId="12" borderId="79" xfId="3" applyNumberFormat="1" applyFont="1" applyFill="1" applyBorder="1" applyAlignment="1">
      <alignment horizontal="right" vertical="center"/>
    </xf>
    <xf numFmtId="2" fontId="83" fillId="12" borderId="65" xfId="0" applyNumberFormat="1" applyFont="1" applyFill="1" applyBorder="1" applyAlignment="1">
      <alignment horizontal="right" vertical="center"/>
    </xf>
    <xf numFmtId="2" fontId="86" fillId="12" borderId="68" xfId="0" applyNumberFormat="1" applyFont="1" applyFill="1" applyBorder="1" applyAlignment="1">
      <alignment horizontal="right" vertical="center"/>
    </xf>
    <xf numFmtId="2" fontId="84" fillId="12" borderId="118" xfId="0" applyNumberFormat="1" applyFont="1" applyFill="1" applyBorder="1" applyAlignment="1">
      <alignment horizontal="right" vertical="center"/>
    </xf>
    <xf numFmtId="171" fontId="84" fillId="12" borderId="119" xfId="0" applyNumberFormat="1" applyFont="1" applyFill="1" applyBorder="1" applyAlignment="1">
      <alignment horizontal="right" vertical="center" wrapText="1"/>
    </xf>
    <xf numFmtId="171" fontId="84" fillId="12" borderId="120" xfId="0" applyNumberFormat="1" applyFont="1" applyFill="1" applyBorder="1" applyAlignment="1">
      <alignment horizontal="right" vertical="center" wrapText="1"/>
    </xf>
    <xf numFmtId="0" fontId="92" fillId="0" borderId="0" xfId="0" applyFont="1"/>
    <xf numFmtId="165" fontId="93" fillId="0" borderId="0" xfId="0" applyNumberFormat="1" applyFont="1"/>
    <xf numFmtId="166" fontId="93" fillId="0" borderId="0" xfId="0" applyNumberFormat="1" applyFont="1"/>
    <xf numFmtId="0" fontId="76" fillId="18" borderId="0" xfId="0" applyFont="1" applyFill="1"/>
    <xf numFmtId="0" fontId="9" fillId="5" borderId="27" xfId="0" applyFont="1" applyFill="1" applyBorder="1" applyAlignment="1">
      <alignment horizontal="center"/>
    </xf>
    <xf numFmtId="0" fontId="9" fillId="5" borderId="28" xfId="0" applyFont="1" applyFill="1" applyBorder="1" applyAlignment="1">
      <alignment horizontal="center"/>
    </xf>
    <xf numFmtId="0" fontId="9" fillId="5" borderId="29" xfId="0" applyFont="1" applyFill="1" applyBorder="1" applyAlignment="1">
      <alignment horizontal="center"/>
    </xf>
    <xf numFmtId="0" fontId="11" fillId="5" borderId="28" xfId="0" applyFont="1" applyFill="1" applyBorder="1"/>
    <xf numFmtId="166" fontId="9" fillId="5" borderId="29" xfId="0" applyNumberFormat="1" applyFont="1" applyFill="1" applyBorder="1" applyAlignment="1">
      <alignment horizontal="right" wrapText="1" indent="1"/>
    </xf>
    <xf numFmtId="165" fontId="11" fillId="5" borderId="29" xfId="0" applyNumberFormat="1" applyFont="1" applyFill="1" applyBorder="1" applyAlignment="1">
      <alignment horizontal="right" wrapText="1" indent="1"/>
    </xf>
    <xf numFmtId="0" fontId="94" fillId="0" borderId="0" xfId="0" applyFont="1"/>
    <xf numFmtId="0" fontId="95" fillId="0" borderId="0" xfId="0" applyFont="1"/>
    <xf numFmtId="165" fontId="74" fillId="8" borderId="15" xfId="0" applyNumberFormat="1" applyFont="1" applyFill="1" applyBorder="1" applyAlignment="1">
      <alignment horizontal="right" vertical="center"/>
    </xf>
    <xf numFmtId="165" fontId="74" fillId="0" borderId="15" xfId="0" applyNumberFormat="1" applyFont="1" applyFill="1" applyBorder="1" applyAlignment="1">
      <alignment horizontal="right" vertical="center"/>
    </xf>
    <xf numFmtId="0" fontId="70" fillId="0" borderId="0" xfId="0" applyFont="1" applyFill="1"/>
    <xf numFmtId="169" fontId="74" fillId="0" borderId="13" xfId="1" applyNumberFormat="1" applyFont="1" applyFill="1" applyBorder="1"/>
    <xf numFmtId="169" fontId="74" fillId="0" borderId="14" xfId="1" applyNumberFormat="1" applyFont="1" applyFill="1" applyBorder="1"/>
    <xf numFmtId="169" fontId="74" fillId="0" borderId="19" xfId="1" applyNumberFormat="1" applyFont="1" applyFill="1" applyBorder="1"/>
    <xf numFmtId="169" fontId="79" fillId="0" borderId="21" xfId="1" applyNumberFormat="1" applyFont="1" applyFill="1" applyBorder="1"/>
    <xf numFmtId="0" fontId="69" fillId="0" borderId="0" xfId="0" applyFont="1" applyFill="1" applyAlignment="1"/>
    <xf numFmtId="0" fontId="68" fillId="17" borderId="21" xfId="0" applyFont="1" applyFill="1" applyBorder="1" applyAlignment="1"/>
    <xf numFmtId="0" fontId="77" fillId="17" borderId="21" xfId="0" applyNumberFormat="1" applyFont="1" applyFill="1" applyBorder="1" applyAlignment="1">
      <alignment horizontal="center" vertical="center"/>
    </xf>
    <xf numFmtId="0" fontId="75" fillId="16" borderId="21" xfId="0" applyNumberFormat="1" applyFont="1" applyFill="1" applyBorder="1" applyAlignment="1">
      <alignment horizontal="center" vertical="center"/>
    </xf>
    <xf numFmtId="166" fontId="75" fillId="16" borderId="32" xfId="1" applyNumberFormat="1" applyFont="1" applyFill="1" applyBorder="1" applyAlignment="1">
      <alignment horizontal="center" vertical="center"/>
    </xf>
    <xf numFmtId="0" fontId="9" fillId="7" borderId="31" xfId="0" applyFont="1" applyFill="1" applyBorder="1"/>
    <xf numFmtId="165" fontId="9" fillId="7" borderId="21" xfId="0" applyNumberFormat="1" applyFont="1" applyFill="1" applyBorder="1"/>
    <xf numFmtId="165" fontId="84" fillId="7" borderId="21" xfId="0" applyNumberFormat="1" applyFont="1" applyFill="1" applyBorder="1"/>
    <xf numFmtId="166" fontId="27" fillId="7" borderId="21" xfId="0" applyNumberFormat="1" applyFont="1" applyFill="1" applyBorder="1" applyAlignment="1">
      <alignment horizontal="center"/>
    </xf>
    <xf numFmtId="166" fontId="4" fillId="7" borderId="21" xfId="1" applyNumberFormat="1" applyFont="1" applyFill="1" applyBorder="1" applyAlignment="1">
      <alignment horizontal="center"/>
    </xf>
    <xf numFmtId="168" fontId="9" fillId="7" borderId="21" xfId="0" applyNumberFormat="1" applyFont="1" applyFill="1" applyBorder="1"/>
    <xf numFmtId="168" fontId="84" fillId="7" borderId="21" xfId="0" applyNumberFormat="1" applyFont="1" applyFill="1" applyBorder="1"/>
    <xf numFmtId="0" fontId="68" fillId="16" borderId="21" xfId="0" applyFont="1" applyFill="1" applyBorder="1" applyAlignment="1">
      <alignment horizontal="center"/>
    </xf>
    <xf numFmtId="166" fontId="4" fillId="7" borderId="21" xfId="0" applyNumberFormat="1" applyFont="1" applyFill="1" applyBorder="1" applyAlignment="1">
      <alignment horizontal="center"/>
    </xf>
    <xf numFmtId="0" fontId="1" fillId="7" borderId="21" xfId="0" applyFont="1" applyFill="1" applyBorder="1"/>
    <xf numFmtId="0" fontId="9" fillId="7" borderId="21" xfId="0" applyFont="1" applyFill="1" applyBorder="1"/>
    <xf numFmtId="0" fontId="96" fillId="0" borderId="0" xfId="0" applyFont="1" applyAlignment="1">
      <alignment horizontal="right"/>
    </xf>
    <xf numFmtId="165" fontId="96" fillId="0" borderId="0" xfId="0" applyNumberFormat="1" applyFont="1" applyFill="1"/>
    <xf numFmtId="168" fontId="1" fillId="0" borderId="21" xfId="0" applyNumberFormat="1" applyFont="1" applyBorder="1"/>
    <xf numFmtId="168" fontId="1" fillId="0" borderId="21" xfId="0" applyNumberFormat="1" applyFont="1" applyFill="1" applyBorder="1" applyAlignment="1">
      <alignment horizontal="right"/>
    </xf>
    <xf numFmtId="0" fontId="68" fillId="17" borderId="0" xfId="0" applyFont="1" applyFill="1" applyAlignment="1">
      <alignment horizontal="right"/>
    </xf>
    <xf numFmtId="168" fontId="1" fillId="0" borderId="21" xfId="0" applyNumberFormat="1" applyFont="1" applyFill="1" applyBorder="1"/>
    <xf numFmtId="0" fontId="68" fillId="17" borderId="21" xfId="0" applyFont="1" applyFill="1" applyBorder="1" applyAlignment="1">
      <alignment horizontal="center" vertical="center"/>
    </xf>
    <xf numFmtId="0" fontId="44" fillId="14" borderId="21" xfId="0" applyFont="1" applyFill="1" applyBorder="1"/>
    <xf numFmtId="174" fontId="44" fillId="14" borderId="21" xfId="4" applyNumberFormat="1" applyFont="1" applyFill="1" applyBorder="1"/>
    <xf numFmtId="166" fontId="73" fillId="14" borderId="21" xfId="1" applyNumberFormat="1" applyFont="1" applyFill="1" applyBorder="1"/>
    <xf numFmtId="166" fontId="44" fillId="14" borderId="21" xfId="0" applyNumberFormat="1" applyFont="1" applyFill="1" applyBorder="1"/>
    <xf numFmtId="168" fontId="44" fillId="14" borderId="21" xfId="0" applyNumberFormat="1" applyFont="1" applyFill="1" applyBorder="1"/>
    <xf numFmtId="0" fontId="0" fillId="0" borderId="21" xfId="0" applyFill="1" applyBorder="1"/>
    <xf numFmtId="0" fontId="1" fillId="0" borderId="21" xfId="0" applyFont="1" applyFill="1" applyBorder="1"/>
    <xf numFmtId="0" fontId="6" fillId="0" borderId="21" xfId="0" applyFont="1" applyFill="1" applyBorder="1"/>
    <xf numFmtId="174" fontId="82" fillId="0" borderId="21" xfId="4" applyNumberFormat="1" applyFont="1" applyFill="1" applyBorder="1" applyAlignment="1">
      <alignment horizontal="right"/>
    </xf>
    <xf numFmtId="166" fontId="82" fillId="0" borderId="21" xfId="1" applyNumberFormat="1" applyFont="1" applyFill="1" applyBorder="1"/>
    <xf numFmtId="168" fontId="82" fillId="0" borderId="21" xfId="0" applyNumberFormat="1" applyFont="1" applyFill="1" applyBorder="1"/>
    <xf numFmtId="166" fontId="82" fillId="0" borderId="21" xfId="0" applyNumberFormat="1" applyFont="1" applyFill="1" applyBorder="1"/>
    <xf numFmtId="165" fontId="97" fillId="0" borderId="21" xfId="0" applyNumberFormat="1" applyFont="1" applyFill="1" applyBorder="1"/>
    <xf numFmtId="168" fontId="97" fillId="0" borderId="21" xfId="0" applyNumberFormat="1" applyFont="1" applyFill="1" applyBorder="1"/>
    <xf numFmtId="166" fontId="97" fillId="0" borderId="21" xfId="1" applyNumberFormat="1" applyFont="1" applyFill="1" applyBorder="1"/>
    <xf numFmtId="0" fontId="97" fillId="0" borderId="21" xfId="0" applyNumberFormat="1" applyFont="1" applyFill="1" applyBorder="1"/>
    <xf numFmtId="166" fontId="97" fillId="0" borderId="21" xfId="0" applyNumberFormat="1" applyFont="1" applyFill="1" applyBorder="1"/>
    <xf numFmtId="165" fontId="82" fillId="0" borderId="21" xfId="0" applyNumberFormat="1" applyFont="1" applyFill="1" applyBorder="1"/>
    <xf numFmtId="0" fontId="98" fillId="17" borderId="0" xfId="0" applyFont="1" applyFill="1"/>
    <xf numFmtId="1" fontId="98" fillId="17" borderId="0" xfId="0" applyNumberFormat="1" applyFont="1" applyFill="1"/>
    <xf numFmtId="0" fontId="99" fillId="0" borderId="0" xfId="0" applyFont="1"/>
    <xf numFmtId="165" fontId="99" fillId="0" borderId="0" xfId="0" applyNumberFormat="1" applyFont="1"/>
    <xf numFmtId="0" fontId="100" fillId="0" borderId="0" xfId="0" applyFont="1" applyAlignment="1">
      <alignment horizontal="right"/>
    </xf>
    <xf numFmtId="165" fontId="100" fillId="0" borderId="0" xfId="0" applyNumberFormat="1" applyFont="1"/>
    <xf numFmtId="0" fontId="44" fillId="17" borderId="21" xfId="0" applyFont="1" applyFill="1" applyBorder="1" applyAlignment="1">
      <alignment vertical="center" wrapText="1"/>
    </xf>
    <xf numFmtId="0" fontId="44" fillId="17" borderId="21" xfId="0" applyFont="1" applyFill="1" applyBorder="1" applyAlignment="1">
      <alignment horizontal="center" vertical="center"/>
    </xf>
    <xf numFmtId="0" fontId="68" fillId="17" borderId="21" xfId="0" applyFont="1" applyFill="1" applyBorder="1"/>
    <xf numFmtId="0" fontId="79" fillId="0" borderId="21" xfId="0" applyFont="1" applyFill="1" applyBorder="1"/>
    <xf numFmtId="0" fontId="78" fillId="0" borderId="21" xfId="0" applyFont="1" applyFill="1" applyBorder="1" applyAlignment="1">
      <alignment horizontal="left" indent="2"/>
    </xf>
    <xf numFmtId="166" fontId="68" fillId="19" borderId="0" xfId="0" applyNumberFormat="1" applyFont="1" applyFill="1"/>
    <xf numFmtId="166" fontId="75" fillId="19" borderId="21" xfId="1" applyNumberFormat="1" applyFont="1" applyFill="1" applyBorder="1"/>
    <xf numFmtId="168" fontId="44" fillId="17" borderId="21" xfId="0" applyNumberFormat="1" applyFont="1" applyFill="1" applyBorder="1"/>
    <xf numFmtId="166" fontId="44" fillId="15" borderId="0" xfId="0" applyNumberFormat="1" applyFont="1" applyFill="1" applyAlignment="1">
      <alignment horizontal="center" vertical="center"/>
    </xf>
    <xf numFmtId="0" fontId="79" fillId="0" borderId="21" xfId="0" applyFont="1" applyBorder="1"/>
    <xf numFmtId="169" fontId="79" fillId="0" borderId="21" xfId="0" applyNumberFormat="1" applyFont="1" applyBorder="1"/>
    <xf numFmtId="169" fontId="79" fillId="0" borderId="21" xfId="0" applyNumberFormat="1" applyFont="1" applyFill="1" applyBorder="1"/>
    <xf numFmtId="169" fontId="78" fillId="0" borderId="21" xfId="0" applyNumberFormat="1" applyFont="1" applyFill="1" applyBorder="1"/>
    <xf numFmtId="0" fontId="79" fillId="0" borderId="21" xfId="0" applyFont="1" applyFill="1" applyBorder="1" applyAlignment="1">
      <alignment horizontal="left"/>
    </xf>
    <xf numFmtId="0" fontId="8" fillId="0" borderId="21" xfId="0" applyFont="1" applyFill="1" applyBorder="1"/>
    <xf numFmtId="0" fontId="44" fillId="17" borderId="21" xfId="0" applyFont="1" applyFill="1" applyBorder="1" applyAlignment="1">
      <alignment horizontal="center" vertical="center" wrapText="1"/>
    </xf>
    <xf numFmtId="168" fontId="8" fillId="0" borderId="21" xfId="0" applyNumberFormat="1" applyFont="1" applyFill="1" applyBorder="1"/>
    <xf numFmtId="0" fontId="101" fillId="0" borderId="0" xfId="0" applyFont="1" applyFill="1"/>
    <xf numFmtId="0" fontId="102" fillId="0" borderId="0" xfId="0" applyFont="1" applyFill="1"/>
    <xf numFmtId="165" fontId="14" fillId="0" borderId="0" xfId="0" applyNumberFormat="1" applyFont="1" applyFill="1"/>
    <xf numFmtId="165" fontId="15" fillId="0" borderId="0" xfId="0" applyNumberFormat="1" applyFont="1" applyFill="1"/>
    <xf numFmtId="165" fontId="16" fillId="0" borderId="0" xfId="0" applyNumberFormat="1" applyFont="1" applyFill="1"/>
    <xf numFmtId="165" fontId="17" fillId="0" borderId="0" xfId="0" applyNumberFormat="1" applyFont="1" applyFill="1"/>
    <xf numFmtId="0" fontId="9" fillId="0" borderId="0" xfId="0" applyFont="1" applyFill="1" applyAlignment="1">
      <alignment horizontal="center" vertical="center"/>
    </xf>
    <xf numFmtId="0" fontId="9" fillId="0" borderId="0" xfId="0" applyFont="1" applyAlignment="1">
      <alignment horizontal="center" vertical="center"/>
    </xf>
    <xf numFmtId="0" fontId="69" fillId="17" borderId="23" xfId="0" applyFont="1" applyFill="1" applyBorder="1" applyAlignment="1">
      <alignment horizontal="center" vertical="center"/>
    </xf>
    <xf numFmtId="0" fontId="69" fillId="17" borderId="1" xfId="0" applyFont="1" applyFill="1" applyBorder="1" applyAlignment="1">
      <alignment horizontal="center" vertical="center"/>
    </xf>
    <xf numFmtId="0" fontId="69" fillId="17" borderId="26" xfId="0" applyFont="1" applyFill="1" applyBorder="1" applyAlignment="1">
      <alignment horizontal="right" vertical="center"/>
    </xf>
    <xf numFmtId="0" fontId="69" fillId="17" borderId="25" xfId="0" applyFont="1" applyFill="1" applyBorder="1" applyAlignment="1">
      <alignment horizontal="center" vertical="center"/>
    </xf>
    <xf numFmtId="0" fontId="69" fillId="17" borderId="3" xfId="0" applyFont="1" applyFill="1" applyBorder="1" applyAlignment="1">
      <alignment horizontal="center" vertical="center"/>
    </xf>
    <xf numFmtId="0" fontId="103" fillId="0" borderId="9" xfId="0" applyFont="1" applyBorder="1" applyAlignment="1">
      <alignment vertical="center"/>
    </xf>
    <xf numFmtId="165" fontId="103" fillId="0" borderId="17" xfId="0" applyNumberFormat="1" applyFont="1" applyFill="1" applyBorder="1" applyAlignment="1">
      <alignment horizontal="right" vertical="center"/>
    </xf>
    <xf numFmtId="0" fontId="69" fillId="17" borderId="21" xfId="0" applyFont="1" applyFill="1" applyBorder="1" applyAlignment="1">
      <alignment horizontal="center" vertical="center"/>
    </xf>
    <xf numFmtId="0" fontId="69" fillId="17" borderId="16" xfId="0" applyFont="1" applyFill="1" applyBorder="1" applyAlignment="1">
      <alignment horizontal="center" vertical="center"/>
    </xf>
    <xf numFmtId="167" fontId="0" fillId="0" borderId="21" xfId="0" applyNumberFormat="1" applyFill="1" applyBorder="1"/>
    <xf numFmtId="4" fontId="0" fillId="0" borderId="21" xfId="0" applyNumberFormat="1" applyFill="1" applyBorder="1"/>
    <xf numFmtId="165" fontId="0" fillId="0" borderId="16" xfId="0" applyNumberFormat="1" applyFill="1" applyBorder="1"/>
    <xf numFmtId="165" fontId="8" fillId="17" borderId="21" xfId="0" applyNumberFormat="1" applyFont="1" applyFill="1" applyBorder="1"/>
    <xf numFmtId="174" fontId="1" fillId="0" borderId="21" xfId="4" applyNumberFormat="1" applyFont="1" applyFill="1" applyBorder="1"/>
    <xf numFmtId="166" fontId="1" fillId="0" borderId="21" xfId="1" applyNumberFormat="1" applyFont="1" applyFill="1" applyBorder="1"/>
    <xf numFmtId="166" fontId="8" fillId="0" borderId="21" xfId="1" applyNumberFormat="1" applyFont="1" applyFill="1" applyBorder="1"/>
    <xf numFmtId="0" fontId="69" fillId="17" borderId="13" xfId="0" applyFont="1" applyFill="1" applyBorder="1" applyAlignment="1">
      <alignment horizontal="center"/>
    </xf>
    <xf numFmtId="0" fontId="69" fillId="17" borderId="2" xfId="0" applyFont="1" applyFill="1" applyBorder="1" applyAlignment="1">
      <alignment horizontal="right" vertical="center"/>
    </xf>
    <xf numFmtId="0" fontId="69" fillId="17" borderId="12" xfId="0" applyFont="1" applyFill="1" applyBorder="1" applyAlignment="1">
      <alignment horizontal="center"/>
    </xf>
    <xf numFmtId="0" fontId="69" fillId="17" borderId="13" xfId="0" applyFont="1" applyFill="1" applyBorder="1" applyAlignment="1">
      <alignment horizontal="center" vertical="center"/>
    </xf>
    <xf numFmtId="0" fontId="69" fillId="17" borderId="24" xfId="0" applyFont="1" applyFill="1" applyBorder="1" applyAlignment="1">
      <alignment horizontal="center" vertical="center"/>
    </xf>
    <xf numFmtId="0" fontId="98" fillId="17" borderId="0" xfId="0" applyFont="1" applyFill="1" applyBorder="1" applyAlignment="1">
      <alignment wrapText="1"/>
    </xf>
    <xf numFmtId="0" fontId="77" fillId="20" borderId="0" xfId="0" applyFont="1" applyFill="1" applyBorder="1" applyAlignment="1">
      <alignment horizontal="center" vertical="center"/>
    </xf>
    <xf numFmtId="0" fontId="9" fillId="5" borderId="21" xfId="0" applyFont="1" applyFill="1" applyBorder="1" applyAlignment="1">
      <alignment horizontal="center"/>
    </xf>
    <xf numFmtId="0" fontId="3" fillId="0" borderId="21" xfId="0" applyFont="1" applyFill="1" applyBorder="1" applyAlignment="1">
      <alignment vertical="center"/>
    </xf>
    <xf numFmtId="0" fontId="1" fillId="0" borderId="21" xfId="0" applyFont="1" applyFill="1" applyBorder="1" applyAlignment="1">
      <alignment vertical="center"/>
    </xf>
    <xf numFmtId="0" fontId="11" fillId="5" borderId="21" xfId="0" applyFont="1" applyFill="1" applyBorder="1"/>
    <xf numFmtId="0" fontId="10" fillId="0" borderId="21" xfId="0" applyFont="1" applyFill="1" applyBorder="1" applyAlignment="1">
      <alignment vertical="center" wrapText="1"/>
    </xf>
    <xf numFmtId="170" fontId="10" fillId="0" borderId="21" xfId="0" applyNumberFormat="1" applyFont="1" applyFill="1" applyBorder="1" applyAlignment="1">
      <alignment horizontal="right" vertical="center" wrapText="1"/>
    </xf>
    <xf numFmtId="170" fontId="83" fillId="0" borderId="21" xfId="0" applyNumberFormat="1" applyFont="1" applyFill="1" applyBorder="1" applyAlignment="1">
      <alignment horizontal="right" vertical="center" wrapText="1"/>
    </xf>
    <xf numFmtId="0" fontId="9" fillId="5" borderId="21" xfId="0" applyFont="1" applyFill="1" applyBorder="1" applyAlignment="1">
      <alignment horizontal="right" vertical="center" wrapText="1"/>
    </xf>
    <xf numFmtId="170" fontId="9" fillId="5" borderId="21" xfId="0" applyNumberFormat="1" applyFont="1" applyFill="1" applyBorder="1" applyAlignment="1">
      <alignment horizontal="right" vertical="center" wrapText="1"/>
    </xf>
    <xf numFmtId="0" fontId="77" fillId="17" borderId="21" xfId="0" applyFont="1" applyFill="1" applyBorder="1" applyAlignment="1">
      <alignment horizontal="center"/>
    </xf>
    <xf numFmtId="0" fontId="77" fillId="17" borderId="21" xfId="0" applyFont="1" applyFill="1" applyBorder="1" applyAlignment="1">
      <alignment horizontal="center" vertical="center" wrapText="1"/>
    </xf>
    <xf numFmtId="0" fontId="12" fillId="0" borderId="21" xfId="0" applyFont="1" applyBorder="1"/>
    <xf numFmtId="3" fontId="81" fillId="0" borderId="21" xfId="0" applyNumberFormat="1" applyFont="1" applyFill="1" applyBorder="1" applyAlignment="1"/>
    <xf numFmtId="0" fontId="12" fillId="0" borderId="21" xfId="0" applyFont="1" applyBorder="1" applyAlignment="1">
      <alignment wrapText="1"/>
    </xf>
    <xf numFmtId="3" fontId="27" fillId="0" borderId="21" xfId="0" applyNumberFormat="1" applyFont="1" applyFill="1" applyBorder="1" applyAlignment="1">
      <alignment horizontal="right" vertical="center"/>
    </xf>
    <xf numFmtId="0" fontId="4" fillId="0" borderId="21" xfId="0" applyFont="1" applyBorder="1" applyAlignment="1">
      <alignment vertical="center" wrapText="1"/>
    </xf>
    <xf numFmtId="3" fontId="81" fillId="0" borderId="21" xfId="0" applyNumberFormat="1" applyFont="1" applyFill="1" applyBorder="1" applyAlignment="1">
      <alignment vertical="center"/>
    </xf>
    <xf numFmtId="0" fontId="4" fillId="0" borderId="21" xfId="0" applyFont="1" applyBorder="1"/>
    <xf numFmtId="0" fontId="12" fillId="0" borderId="21" xfId="0" applyFont="1" applyFill="1" applyBorder="1"/>
    <xf numFmtId="169" fontId="12" fillId="0" borderId="21" xfId="0" applyNumberFormat="1" applyFont="1" applyFill="1" applyBorder="1" applyAlignment="1">
      <alignment horizontal="center" wrapText="1"/>
    </xf>
    <xf numFmtId="169" fontId="27" fillId="0" borderId="21" xfId="0" applyNumberFormat="1" applyFont="1" applyFill="1" applyBorder="1" applyAlignment="1">
      <alignment horizontal="center" wrapText="1"/>
    </xf>
    <xf numFmtId="0" fontId="12" fillId="0" borderId="21" xfId="0" applyFont="1" applyFill="1" applyBorder="1" applyAlignment="1">
      <alignment wrapText="1"/>
    </xf>
    <xf numFmtId="0" fontId="12" fillId="0" borderId="21" xfId="0" applyFont="1" applyFill="1" applyBorder="1" applyAlignment="1">
      <alignment vertical="center" wrapText="1"/>
    </xf>
    <xf numFmtId="169" fontId="12" fillId="0" borderId="21" xfId="0" applyNumberFormat="1" applyFont="1" applyFill="1" applyBorder="1" applyAlignment="1">
      <alignment horizontal="center" vertical="center" wrapText="1"/>
    </xf>
    <xf numFmtId="169" fontId="27" fillId="0" borderId="21" xfId="0" applyNumberFormat="1" applyFont="1" applyFill="1" applyBorder="1" applyAlignment="1">
      <alignment horizontal="center" vertical="center" wrapText="1"/>
    </xf>
    <xf numFmtId="0" fontId="12" fillId="10" borderId="21" xfId="0" applyFont="1" applyFill="1" applyBorder="1" applyAlignment="1">
      <alignment wrapText="1"/>
    </xf>
    <xf numFmtId="169" fontId="12" fillId="10" borderId="21" xfId="0" applyNumberFormat="1" applyFont="1" applyFill="1" applyBorder="1" applyAlignment="1">
      <alignment horizontal="center" wrapText="1"/>
    </xf>
    <xf numFmtId="169" fontId="27" fillId="10" borderId="21" xfId="0" applyNumberFormat="1" applyFont="1" applyFill="1" applyBorder="1" applyAlignment="1">
      <alignment horizontal="center" wrapText="1"/>
    </xf>
    <xf numFmtId="0" fontId="12" fillId="0" borderId="21" xfId="0" applyFont="1" applyFill="1" applyBorder="1" applyAlignment="1">
      <alignment horizontal="left" wrapText="1"/>
    </xf>
    <xf numFmtId="0" fontId="0" fillId="0" borderId="128" xfId="0" applyBorder="1"/>
    <xf numFmtId="0" fontId="0" fillId="0" borderId="129" xfId="0" applyBorder="1"/>
    <xf numFmtId="17" fontId="105" fillId="0" borderId="130" xfId="0" quotePrefix="1" applyNumberFormat="1" applyFont="1" applyBorder="1" applyAlignment="1">
      <alignment horizontal="right"/>
    </xf>
    <xf numFmtId="0" fontId="0" fillId="7" borderId="0" xfId="0" applyFill="1"/>
    <xf numFmtId="0" fontId="0" fillId="0" borderId="131" xfId="0" applyBorder="1"/>
    <xf numFmtId="0" fontId="0" fillId="0" borderId="132" xfId="0" applyBorder="1"/>
    <xf numFmtId="0" fontId="1" fillId="0" borderId="132" xfId="0" applyFont="1" applyBorder="1"/>
    <xf numFmtId="0" fontId="108" fillId="0" borderId="131" xfId="0" applyFont="1" applyBorder="1" applyAlignment="1">
      <alignment vertical="center"/>
    </xf>
    <xf numFmtId="0" fontId="104" fillId="0" borderId="131" xfId="6" applyBorder="1" applyAlignment="1" applyProtection="1">
      <alignment vertical="center"/>
    </xf>
    <xf numFmtId="0" fontId="78" fillId="0" borderId="131" xfId="0" applyFont="1" applyBorder="1" applyAlignment="1">
      <alignment vertical="center"/>
    </xf>
    <xf numFmtId="0" fontId="1" fillId="0" borderId="131" xfId="6" applyFont="1" applyBorder="1" applyAlignment="1" applyProtection="1">
      <alignment vertical="center"/>
    </xf>
    <xf numFmtId="0" fontId="1" fillId="0" borderId="131" xfId="0" applyFont="1" applyBorder="1" applyAlignment="1">
      <alignment vertical="center"/>
    </xf>
    <xf numFmtId="0" fontId="0" fillId="0" borderId="133" xfId="0" applyBorder="1"/>
    <xf numFmtId="0" fontId="0" fillId="0" borderId="134" xfId="0" applyBorder="1"/>
    <xf numFmtId="0" fontId="0" fillId="0" borderId="135" xfId="0" applyBorder="1"/>
    <xf numFmtId="0" fontId="106" fillId="0" borderId="131" xfId="0" applyFont="1" applyBorder="1" applyAlignment="1">
      <alignment horizontal="center" vertical="center"/>
    </xf>
    <xf numFmtId="0" fontId="106" fillId="0" borderId="0" xfId="0" applyFont="1" applyAlignment="1">
      <alignment horizontal="center" vertical="center"/>
    </xf>
    <xf numFmtId="0" fontId="106" fillId="0" borderId="132" xfId="0" applyFont="1" applyBorder="1" applyAlignment="1">
      <alignment horizontal="center" vertical="center"/>
    </xf>
    <xf numFmtId="0" fontId="107" fillId="0" borderId="131" xfId="0" applyFont="1" applyBorder="1" applyAlignment="1">
      <alignment horizontal="center"/>
    </xf>
    <xf numFmtId="0" fontId="107" fillId="0" borderId="0" xfId="0" applyFont="1" applyAlignment="1">
      <alignment horizontal="center"/>
    </xf>
    <xf numFmtId="0" fontId="107" fillId="0" borderId="132" xfId="0" applyFont="1" applyBorder="1" applyAlignment="1">
      <alignment horizontal="center"/>
    </xf>
    <xf numFmtId="0" fontId="77" fillId="17" borderId="21" xfId="0" applyFont="1" applyFill="1" applyBorder="1" applyAlignment="1">
      <alignment horizontal="center" vertical="center"/>
    </xf>
    <xf numFmtId="0" fontId="77" fillId="17" borderId="21" xfId="0" applyFont="1" applyFill="1" applyBorder="1" applyAlignment="1">
      <alignment horizontal="center" vertical="center" wrapText="1"/>
    </xf>
    <xf numFmtId="0" fontId="69" fillId="17" borderId="21" xfId="0" applyFont="1" applyFill="1" applyBorder="1" applyAlignment="1">
      <alignment horizontal="center" vertical="center"/>
    </xf>
    <xf numFmtId="0" fontId="69" fillId="17" borderId="6" xfId="0" applyFont="1" applyFill="1" applyBorder="1" applyAlignment="1">
      <alignment horizontal="center" vertical="center"/>
    </xf>
    <xf numFmtId="0" fontId="69" fillId="17" borderId="23" xfId="0" applyFont="1" applyFill="1" applyBorder="1" applyAlignment="1">
      <alignment horizontal="center" vertical="center"/>
    </xf>
    <xf numFmtId="0" fontId="69" fillId="17" borderId="36" xfId="0" applyFont="1" applyFill="1" applyBorder="1" applyAlignment="1">
      <alignment horizontal="center" vertical="center"/>
    </xf>
    <xf numFmtId="0" fontId="69" fillId="17" borderId="33" xfId="0" applyFont="1" applyFill="1" applyBorder="1" applyAlignment="1">
      <alignment horizontal="center" vertical="center"/>
    </xf>
    <xf numFmtId="0" fontId="69" fillId="17" borderId="24" xfId="0" applyFont="1" applyFill="1" applyBorder="1" applyAlignment="1">
      <alignment horizontal="center" vertical="center"/>
    </xf>
    <xf numFmtId="0" fontId="5" fillId="2" borderId="21" xfId="0" applyFont="1" applyFill="1" applyBorder="1" applyAlignment="1">
      <alignment horizontal="center"/>
    </xf>
    <xf numFmtId="0" fontId="5" fillId="2" borderId="4" xfId="0" applyFont="1" applyFill="1" applyBorder="1" applyAlignment="1">
      <alignment horizontal="center"/>
    </xf>
    <xf numFmtId="0" fontId="69" fillId="17" borderId="13" xfId="0" applyFont="1" applyFill="1" applyBorder="1" applyAlignment="1">
      <alignment horizontal="center"/>
    </xf>
    <xf numFmtId="0" fontId="69" fillId="17" borderId="36" xfId="0" applyFont="1" applyFill="1" applyBorder="1" applyAlignment="1">
      <alignment horizontal="center"/>
    </xf>
    <xf numFmtId="0" fontId="69" fillId="17" borderId="33" xfId="0" applyFont="1" applyFill="1" applyBorder="1" applyAlignment="1">
      <alignment horizontal="center"/>
    </xf>
    <xf numFmtId="0" fontId="69" fillId="17" borderId="24" xfId="0" applyFont="1" applyFill="1" applyBorder="1" applyAlignment="1">
      <alignment horizontal="center"/>
    </xf>
    <xf numFmtId="0" fontId="69" fillId="17" borderId="4" xfId="0" applyFont="1" applyFill="1" applyBorder="1" applyAlignment="1">
      <alignment horizontal="center" vertical="center"/>
    </xf>
    <xf numFmtId="0" fontId="69" fillId="17" borderId="5" xfId="0" applyFont="1" applyFill="1" applyBorder="1" applyAlignment="1">
      <alignment horizontal="center" vertical="center"/>
    </xf>
    <xf numFmtId="0" fontId="69" fillId="17" borderId="37" xfId="0" applyFont="1" applyFill="1" applyBorder="1" applyAlignment="1">
      <alignment horizontal="center" vertical="center"/>
    </xf>
    <xf numFmtId="0" fontId="44" fillId="15" borderId="0" xfId="0" applyFont="1" applyFill="1" applyAlignment="1">
      <alignment horizontal="left"/>
    </xf>
    <xf numFmtId="0" fontId="44" fillId="11" borderId="0" xfId="0" applyFont="1" applyFill="1" applyAlignment="1">
      <alignment horizontal="left"/>
    </xf>
    <xf numFmtId="0" fontId="8" fillId="0" borderId="16" xfId="0" applyFont="1" applyFill="1" applyBorder="1" applyAlignment="1">
      <alignment horizontal="center" vertical="center"/>
    </xf>
    <xf numFmtId="0" fontId="8" fillId="0" borderId="12" xfId="0" applyFont="1" applyFill="1" applyBorder="1" applyAlignment="1">
      <alignment horizontal="center" vertical="center"/>
    </xf>
    <xf numFmtId="0" fontId="44" fillId="17" borderId="21" xfId="0" applyFont="1" applyFill="1" applyBorder="1" applyAlignment="1">
      <alignment horizontal="center"/>
    </xf>
    <xf numFmtId="0" fontId="68" fillId="17" borderId="21" xfId="0" applyFont="1" applyFill="1" applyBorder="1" applyAlignment="1"/>
    <xf numFmtId="0" fontId="68" fillId="17" borderId="21" xfId="0" applyFont="1" applyFill="1" applyBorder="1" applyAlignment="1">
      <alignment horizontal="center"/>
    </xf>
    <xf numFmtId="3" fontId="44" fillId="16" borderId="21" xfId="0" applyNumberFormat="1" applyFont="1" applyFill="1" applyBorder="1" applyAlignment="1">
      <alignment horizontal="center"/>
    </xf>
    <xf numFmtId="0" fontId="68" fillId="17" borderId="16" xfId="0" applyFont="1" applyFill="1" applyBorder="1" applyAlignment="1">
      <alignment horizontal="center" vertical="center"/>
    </xf>
    <xf numFmtId="0" fontId="68" fillId="17" borderId="12" xfId="0" applyFont="1" applyFill="1" applyBorder="1" applyAlignment="1">
      <alignment horizontal="center" vertical="center"/>
    </xf>
    <xf numFmtId="0" fontId="76" fillId="15" borderId="0" xfId="0" applyFont="1" applyFill="1" applyAlignment="1">
      <alignment horizontal="left"/>
    </xf>
    <xf numFmtId="0" fontId="2" fillId="0" borderId="21" xfId="0" applyFont="1" applyBorder="1" applyAlignment="1">
      <alignment horizontal="center"/>
    </xf>
    <xf numFmtId="0" fontId="2" fillId="0" borderId="21" xfId="0" applyFont="1" applyFill="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3" xfId="0" applyFont="1" applyBorder="1" applyAlignment="1">
      <alignment horizontal="center"/>
    </xf>
    <xf numFmtId="0" fontId="9" fillId="5" borderId="27" xfId="0" applyFont="1" applyFill="1" applyBorder="1" applyAlignment="1">
      <alignment horizontal="center" wrapText="1"/>
    </xf>
    <xf numFmtId="0" fontId="9" fillId="5" borderId="28" xfId="0" applyFont="1" applyFill="1" applyBorder="1" applyAlignment="1">
      <alignment horizontal="center" wrapText="1"/>
    </xf>
    <xf numFmtId="0" fontId="9" fillId="5" borderId="34" xfId="0" applyFont="1" applyFill="1" applyBorder="1" applyAlignment="1">
      <alignment horizontal="center"/>
    </xf>
    <xf numFmtId="0" fontId="9" fillId="5" borderId="35" xfId="0" applyFont="1" applyFill="1" applyBorder="1" applyAlignment="1">
      <alignment horizontal="center"/>
    </xf>
    <xf numFmtId="0" fontId="9" fillId="5" borderId="30" xfId="0" applyFont="1" applyFill="1" applyBorder="1" applyAlignment="1">
      <alignment horizontal="center"/>
    </xf>
    <xf numFmtId="0" fontId="9" fillId="5" borderId="21" xfId="0" applyFont="1" applyFill="1" applyBorder="1" applyAlignment="1">
      <alignment horizontal="center" wrapText="1"/>
    </xf>
    <xf numFmtId="0" fontId="9" fillId="5" borderId="21" xfId="0" applyFont="1" applyFill="1" applyBorder="1" applyAlignment="1">
      <alignment horizontal="center"/>
    </xf>
    <xf numFmtId="0" fontId="9" fillId="5" borderId="21" xfId="0" applyFont="1" applyFill="1" applyBorder="1" applyAlignment="1">
      <alignment horizontal="right" vertical="center" wrapText="1"/>
    </xf>
    <xf numFmtId="0" fontId="41" fillId="0" borderId="21" xfId="0" applyFont="1" applyBorder="1" applyAlignment="1">
      <alignment horizontal="center" vertical="center" wrapText="1"/>
    </xf>
    <xf numFmtId="0" fontId="53" fillId="17" borderId="76" xfId="0" applyFont="1" applyFill="1" applyBorder="1" applyAlignment="1">
      <alignment horizontal="center" vertical="center" wrapText="1"/>
    </xf>
    <xf numFmtId="0" fontId="54" fillId="17" borderId="99" xfId="0" applyFont="1" applyFill="1" applyBorder="1" applyAlignment="1">
      <alignment horizontal="center" vertical="center"/>
    </xf>
    <xf numFmtId="0" fontId="53" fillId="17" borderId="104" xfId="0" applyFont="1" applyFill="1" applyBorder="1" applyAlignment="1">
      <alignment horizontal="center" vertical="center"/>
    </xf>
    <xf numFmtId="0" fontId="54" fillId="17" borderId="41" xfId="0" applyFont="1" applyFill="1" applyBorder="1" applyAlignment="1">
      <alignment horizontal="center" vertical="center"/>
    </xf>
    <xf numFmtId="0" fontId="55" fillId="17" borderId="101" xfId="3" applyFont="1" applyFill="1" applyBorder="1" applyAlignment="1">
      <alignment horizontal="center" vertical="center"/>
    </xf>
    <xf numFmtId="0" fontId="55" fillId="17" borderId="102" xfId="3" applyFont="1" applyFill="1" applyBorder="1" applyAlignment="1">
      <alignment horizontal="center" vertical="center"/>
    </xf>
    <xf numFmtId="0" fontId="55" fillId="17" borderId="103" xfId="3" applyFont="1" applyFill="1" applyBorder="1" applyAlignment="1">
      <alignment horizontal="center" vertical="center"/>
    </xf>
    <xf numFmtId="0" fontId="61" fillId="0" borderId="76" xfId="3" applyFont="1" applyBorder="1" applyAlignment="1">
      <alignment horizontal="center" vertical="center"/>
    </xf>
    <xf numFmtId="0" fontId="61" fillId="0" borderId="77" xfId="3" applyFont="1" applyBorder="1" applyAlignment="1">
      <alignment horizontal="center" vertical="center"/>
    </xf>
    <xf numFmtId="0" fontId="56" fillId="0" borderId="43" xfId="3" applyFont="1" applyBorder="1" applyAlignment="1">
      <alignment horizontal="center" vertical="center"/>
    </xf>
    <xf numFmtId="0" fontId="56" fillId="0" borderId="46" xfId="3" applyFont="1" applyBorder="1" applyAlignment="1">
      <alignment horizontal="center" vertical="center"/>
    </xf>
    <xf numFmtId="0" fontId="56" fillId="0" borderId="48" xfId="3" applyFont="1" applyBorder="1" applyAlignment="1">
      <alignment horizontal="center" vertical="center"/>
    </xf>
    <xf numFmtId="0" fontId="10" fillId="0" borderId="54" xfId="0" applyFont="1" applyFill="1" applyBorder="1" applyAlignment="1">
      <alignment horizontal="center" vertical="center"/>
    </xf>
    <xf numFmtId="0" fontId="10" fillId="0" borderId="55" xfId="0" applyFont="1" applyFill="1" applyBorder="1" applyAlignment="1">
      <alignment horizontal="center" vertical="center"/>
    </xf>
    <xf numFmtId="0" fontId="85" fillId="17" borderId="52" xfId="0" applyFont="1" applyFill="1" applyBorder="1" applyAlignment="1">
      <alignment horizontal="center" vertical="center"/>
    </xf>
    <xf numFmtId="0" fontId="85" fillId="17" borderId="82" xfId="0" applyFont="1" applyFill="1" applyBorder="1" applyAlignment="1">
      <alignment horizontal="center" vertical="center"/>
    </xf>
    <xf numFmtId="0" fontId="85" fillId="17" borderId="53" xfId="0" applyFont="1" applyFill="1" applyBorder="1" applyAlignment="1">
      <alignment horizontal="center" vertical="center"/>
    </xf>
    <xf numFmtId="0" fontId="17" fillId="0" borderId="56"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53" fillId="17" borderId="6" xfId="0" applyFont="1" applyFill="1" applyBorder="1" applyAlignment="1">
      <alignment horizontal="center" vertical="center" wrapText="1"/>
    </xf>
    <xf numFmtId="0" fontId="53" fillId="17" borderId="113" xfId="0" applyFont="1" applyFill="1" applyBorder="1" applyAlignment="1">
      <alignment horizontal="center" vertical="center" wrapText="1"/>
    </xf>
    <xf numFmtId="0" fontId="55" fillId="17" borderId="39" xfId="3" applyFont="1" applyFill="1" applyBorder="1" applyAlignment="1">
      <alignment horizontal="center" vertical="center"/>
    </xf>
    <xf numFmtId="0" fontId="55" fillId="17" borderId="40" xfId="3" applyFont="1" applyFill="1" applyBorder="1" applyAlignment="1">
      <alignment horizontal="center" vertical="center"/>
    </xf>
    <xf numFmtId="0" fontId="55" fillId="17" borderId="38" xfId="3" applyFont="1" applyFill="1" applyBorder="1" applyAlignment="1">
      <alignment horizontal="center" vertical="center"/>
    </xf>
    <xf numFmtId="0" fontId="10" fillId="0" borderId="63" xfId="0" applyFont="1" applyBorder="1" applyAlignment="1">
      <alignment horizontal="left" vertical="center"/>
    </xf>
    <xf numFmtId="0" fontId="10" fillId="0" borderId="66" xfId="0" applyFont="1" applyBorder="1" applyAlignment="1">
      <alignment horizontal="left" vertical="center"/>
    </xf>
    <xf numFmtId="0" fontId="10" fillId="0" borderId="67" xfId="0" applyFont="1" applyBorder="1" applyAlignment="1">
      <alignment horizontal="left" vertical="center"/>
    </xf>
    <xf numFmtId="0" fontId="9" fillId="0" borderId="125" xfId="0" applyFont="1" applyBorder="1" applyAlignment="1">
      <alignment horizontal="center" vertical="center"/>
    </xf>
    <xf numFmtId="0" fontId="9" fillId="0" borderId="126" xfId="0" applyFont="1" applyBorder="1" applyAlignment="1">
      <alignment horizontal="center" vertical="center"/>
    </xf>
    <xf numFmtId="0" fontId="87" fillId="0" borderId="56" xfId="0" applyFont="1" applyFill="1" applyBorder="1" applyAlignment="1">
      <alignment horizontal="center" vertical="center" wrapText="1"/>
    </xf>
    <xf numFmtId="0" fontId="87" fillId="0" borderId="62" xfId="0" applyFont="1" applyFill="1" applyBorder="1" applyAlignment="1">
      <alignment horizontal="center" vertical="center" wrapText="1"/>
    </xf>
    <xf numFmtId="0" fontId="56" fillId="0" borderId="43" xfId="3" applyFont="1" applyBorder="1" applyAlignment="1">
      <alignment horizontal="left" vertical="center"/>
    </xf>
    <xf numFmtId="0" fontId="56" fillId="0" borderId="46" xfId="3" applyFont="1" applyBorder="1" applyAlignment="1">
      <alignment horizontal="left" vertical="center"/>
    </xf>
    <xf numFmtId="0" fontId="56" fillId="0" borderId="48" xfId="3" applyFont="1" applyBorder="1" applyAlignment="1">
      <alignment horizontal="left" vertical="center"/>
    </xf>
    <xf numFmtId="0" fontId="58" fillId="0" borderId="46" xfId="3" applyFont="1" applyBorder="1" applyAlignment="1">
      <alignment horizontal="left" vertical="center"/>
    </xf>
    <xf numFmtId="0" fontId="58" fillId="0" borderId="48" xfId="3" applyFont="1" applyBorder="1" applyAlignment="1">
      <alignment horizontal="left" vertical="center"/>
    </xf>
    <xf numFmtId="0" fontId="61" fillId="0" borderId="121" xfId="3" applyFont="1" applyBorder="1" applyAlignment="1">
      <alignment horizontal="center" vertical="center"/>
    </xf>
    <xf numFmtId="0" fontId="61" fillId="0" borderId="122" xfId="3" applyFont="1" applyBorder="1" applyAlignment="1">
      <alignment horizontal="center" vertical="center"/>
    </xf>
    <xf numFmtId="0" fontId="83" fillId="0" borderId="54" xfId="0" applyFont="1" applyFill="1" applyBorder="1" applyAlignment="1">
      <alignment horizontal="center" vertical="center"/>
    </xf>
    <xf numFmtId="0" fontId="83" fillId="0" borderId="55" xfId="0" applyFont="1" applyFill="1" applyBorder="1" applyAlignment="1">
      <alignment horizontal="center" vertical="center"/>
    </xf>
    <xf numFmtId="0" fontId="9" fillId="0" borderId="116" xfId="0" applyFont="1" applyBorder="1" applyAlignment="1">
      <alignment horizontal="center" vertical="center"/>
    </xf>
    <xf numFmtId="0" fontId="9" fillId="0" borderId="117" xfId="0" applyFont="1" applyBorder="1" applyAlignment="1">
      <alignment horizontal="center" vertical="center"/>
    </xf>
  </cellXfs>
  <cellStyles count="7">
    <cellStyle name="Lien hypertexte" xfId="6" builtinId="8"/>
    <cellStyle name="Milliers" xfId="4" builtinId="3"/>
    <cellStyle name="Normal" xfId="0" builtinId="0"/>
    <cellStyle name="Normal 2" xfId="3" xr:uid="{00000000-0005-0000-0000-000002000000}"/>
    <cellStyle name="Pourcentage" xfId="1" builtinId="5"/>
    <cellStyle name="Pourcentage 2" xfId="2" xr:uid="{00000000-0005-0000-0000-000004000000}"/>
    <cellStyle name="Pourcentage 2 2" xfId="5" xr:uid="{00000000-0005-0000-0000-000005000000}"/>
  </cellStyles>
  <dxfs count="0"/>
  <tableStyles count="0" defaultTableStyle="TableStyleMedium2" defaultPivotStyle="PivotStyleLight16"/>
  <colors>
    <mruColors>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671346753552E-2"/>
          <c:y val="5.2909960765971632E-2"/>
          <c:w val="0.81551549518307953"/>
          <c:h val="0.78388726452924795"/>
        </c:manualLayout>
      </c:layout>
      <c:barChart>
        <c:barDir val="col"/>
        <c:grouping val="clustered"/>
        <c:varyColors val="0"/>
        <c:ser>
          <c:idx val="0"/>
          <c:order val="0"/>
          <c:tx>
            <c:v>Recettes totales (hors contribution RG)</c:v>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rect">
                <a:fillToRect l="100000" t="100000"/>
              </a:path>
              <a:tileRect r="-100000" b="-100000"/>
            </a:gradFill>
          </c:spPr>
          <c:invertIfNegative val="0"/>
          <c:dPt>
            <c:idx val="0"/>
            <c:invertIfNegative val="0"/>
            <c:bubble3D val="0"/>
            <c:extLst>
              <c:ext xmlns:c16="http://schemas.microsoft.com/office/drawing/2014/chart" uri="{C3380CC4-5D6E-409C-BE32-E72D297353CC}">
                <c16:uniqueId val="{00000000-50AC-4038-A0FA-597624B61B06}"/>
              </c:ext>
            </c:extLst>
          </c:dPt>
          <c:dPt>
            <c:idx val="1"/>
            <c:invertIfNegative val="0"/>
            <c:bubble3D val="0"/>
            <c:extLst>
              <c:ext xmlns:c16="http://schemas.microsoft.com/office/drawing/2014/chart" uri="{C3380CC4-5D6E-409C-BE32-E72D297353CC}">
                <c16:uniqueId val="{00000002-50AC-4038-A0FA-597624B61B06}"/>
              </c:ext>
            </c:extLst>
          </c:dPt>
          <c:dPt>
            <c:idx val="2"/>
            <c:invertIfNegative val="0"/>
            <c:bubble3D val="0"/>
            <c:extLst>
              <c:ext xmlns:c16="http://schemas.microsoft.com/office/drawing/2014/chart" uri="{C3380CC4-5D6E-409C-BE32-E72D297353CC}">
                <c16:uniqueId val="{00000004-50AC-4038-A0FA-597624B61B06}"/>
              </c:ext>
            </c:extLst>
          </c:dPt>
          <c:dPt>
            <c:idx val="3"/>
            <c:invertIfNegative val="0"/>
            <c:bubble3D val="0"/>
            <c:extLst>
              <c:ext xmlns:c16="http://schemas.microsoft.com/office/drawing/2014/chart" uri="{C3380CC4-5D6E-409C-BE32-E72D297353CC}">
                <c16:uniqueId val="{00000006-50AC-4038-A0FA-597624B61B06}"/>
              </c:ext>
            </c:extLst>
          </c:dPt>
          <c:dPt>
            <c:idx val="4"/>
            <c:invertIfNegative val="0"/>
            <c:bubble3D val="0"/>
            <c:extLst>
              <c:ext xmlns:c16="http://schemas.microsoft.com/office/drawing/2014/chart" uri="{C3380CC4-5D6E-409C-BE32-E72D297353CC}">
                <c16:uniqueId val="{00000008-50AC-4038-A0FA-597624B61B06}"/>
              </c:ext>
            </c:extLst>
          </c:dPt>
          <c:dPt>
            <c:idx val="5"/>
            <c:invertIfNegative val="0"/>
            <c:bubble3D val="0"/>
            <c:extLst>
              <c:ext xmlns:c16="http://schemas.microsoft.com/office/drawing/2014/chart" uri="{C3380CC4-5D6E-409C-BE32-E72D297353CC}">
                <c16:uniqueId val="{0000000A-50AC-4038-A0FA-597624B61B06}"/>
              </c:ext>
            </c:extLst>
          </c:dPt>
          <c:dLbls>
            <c:dLbl>
              <c:idx val="1"/>
              <c:layout>
                <c:manualLayout>
                  <c:x val="3.1419231443956797E-17"/>
                  <c:y val="4.20988698726708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AC-4038-A0FA-597624B61B06}"/>
                </c:ext>
              </c:extLst>
            </c:dLbl>
            <c:dLbl>
              <c:idx val="2"/>
              <c:layout>
                <c:manualLayout>
                  <c:x val="4.0466067893030417E-4"/>
                  <c:y val="4.69457477913269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AC-4038-A0FA-597624B61B06}"/>
                </c:ext>
              </c:extLst>
            </c:dLbl>
            <c:dLbl>
              <c:idx val="3"/>
              <c:layout>
                <c:manualLayout>
                  <c:x val="6.4026371470924381E-3"/>
                  <c:y val="4.03287000524944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AC-4038-A0FA-597624B61B06}"/>
                </c:ext>
              </c:extLst>
            </c:dLbl>
            <c:dLbl>
              <c:idx val="4"/>
              <c:layout>
                <c:manualLayout>
                  <c:x val="-3.5088411443350374E-3"/>
                  <c:y val="-1.4300538014143784E-3"/>
                </c:manualLayout>
              </c:layout>
              <c:spPr>
                <a:solidFill>
                  <a:schemeClr val="accent5">
                    <a:lumMod val="75000"/>
                  </a:schemeClr>
                </a:solidFill>
                <a:ln>
                  <a:noFill/>
                </a:ln>
              </c:spPr>
              <c:txPr>
                <a:bodyPr/>
                <a:lstStyle/>
                <a:p>
                  <a:pPr>
                    <a:defRPr sz="800" b="1">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AC-4038-A0FA-597624B61B06}"/>
                </c:ext>
              </c:extLst>
            </c:dLbl>
            <c:dLbl>
              <c:idx val="5"/>
              <c:layout>
                <c:manualLayout>
                  <c:x val="8.0389226563113113E-3"/>
                  <c:y val="-2.58553988461165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AC-4038-A0FA-597624B61B06}"/>
                </c:ext>
              </c:extLst>
            </c:dLbl>
            <c:spPr>
              <a:solidFill>
                <a:schemeClr val="accent5">
                  <a:lumMod val="75000"/>
                </a:schemeClr>
              </a:solidFill>
            </c:spPr>
            <c:txPr>
              <a:bodyPr/>
              <a:lstStyle/>
              <a:p>
                <a:pPr>
                  <a:defRPr sz="8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 NET'!$B$28:$G$28</c:f>
              <c:strCache>
                <c:ptCount val="6"/>
                <c:pt idx="0">
                  <c:v>2023</c:v>
                </c:pt>
                <c:pt idx="1">
                  <c:v>2024(p)</c:v>
                </c:pt>
                <c:pt idx="2">
                  <c:v>2025(p)</c:v>
                </c:pt>
                <c:pt idx="3">
                  <c:v>2026(p)</c:v>
                </c:pt>
                <c:pt idx="4">
                  <c:v>2027(p)</c:v>
                </c:pt>
                <c:pt idx="5">
                  <c:v>2028(p)</c:v>
                </c:pt>
              </c:strCache>
            </c:strRef>
          </c:cat>
          <c:val>
            <c:numRef>
              <c:f>'RESULTAT NET'!$C$4:$H$4</c:f>
              <c:numCache>
                <c:formatCode>#\ ##0.0</c:formatCode>
                <c:ptCount val="6"/>
                <c:pt idx="0">
                  <c:v>15875.352678770001</c:v>
                </c:pt>
                <c:pt idx="1">
                  <c:v>16493.386245913858</c:v>
                </c:pt>
                <c:pt idx="2">
                  <c:v>17044.206075273345</c:v>
                </c:pt>
                <c:pt idx="3">
                  <c:v>17614.876375872871</c:v>
                </c:pt>
                <c:pt idx="4">
                  <c:v>18211.203809456725</c:v>
                </c:pt>
                <c:pt idx="5">
                  <c:v>18797.918681646017</c:v>
                </c:pt>
              </c:numCache>
            </c:numRef>
          </c:val>
          <c:extLst>
            <c:ext xmlns:c16="http://schemas.microsoft.com/office/drawing/2014/chart" uri="{C3380CC4-5D6E-409C-BE32-E72D297353CC}">
              <c16:uniqueId val="{0000000B-50AC-4038-A0FA-597624B61B06}"/>
            </c:ext>
          </c:extLst>
        </c:ser>
        <c:ser>
          <c:idx val="2"/>
          <c:order val="2"/>
          <c:tx>
            <c:v>Cotisations sociales</c:v>
          </c:tx>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rect">
                <a:fillToRect l="100000" t="100000"/>
              </a:path>
              <a:tileRect r="-100000" b="-100000"/>
            </a:gradFill>
          </c:spPr>
          <c:invertIfNegative val="0"/>
          <c:dPt>
            <c:idx val="1"/>
            <c:invertIfNegative val="0"/>
            <c:bubble3D val="0"/>
            <c:extLst>
              <c:ext xmlns:c16="http://schemas.microsoft.com/office/drawing/2014/chart" uri="{C3380CC4-5D6E-409C-BE32-E72D297353CC}">
                <c16:uniqueId val="{0000000D-50AC-4038-A0FA-597624B61B06}"/>
              </c:ext>
            </c:extLst>
          </c:dPt>
          <c:dPt>
            <c:idx val="2"/>
            <c:invertIfNegative val="0"/>
            <c:bubble3D val="0"/>
            <c:extLst>
              <c:ext xmlns:c16="http://schemas.microsoft.com/office/drawing/2014/chart" uri="{C3380CC4-5D6E-409C-BE32-E72D297353CC}">
                <c16:uniqueId val="{0000000F-50AC-4038-A0FA-597624B61B06}"/>
              </c:ext>
            </c:extLst>
          </c:dPt>
          <c:dPt>
            <c:idx val="3"/>
            <c:invertIfNegative val="0"/>
            <c:bubble3D val="0"/>
            <c:extLst>
              <c:ext xmlns:c16="http://schemas.microsoft.com/office/drawing/2014/chart" uri="{C3380CC4-5D6E-409C-BE32-E72D297353CC}">
                <c16:uniqueId val="{00000011-50AC-4038-A0FA-597624B61B06}"/>
              </c:ext>
            </c:extLst>
          </c:dPt>
          <c:dPt>
            <c:idx val="4"/>
            <c:invertIfNegative val="0"/>
            <c:bubble3D val="0"/>
            <c:extLst>
              <c:ext xmlns:c16="http://schemas.microsoft.com/office/drawing/2014/chart" uri="{C3380CC4-5D6E-409C-BE32-E72D297353CC}">
                <c16:uniqueId val="{00000013-50AC-4038-A0FA-597624B61B06}"/>
              </c:ext>
            </c:extLst>
          </c:dPt>
          <c:dPt>
            <c:idx val="5"/>
            <c:invertIfNegative val="0"/>
            <c:bubble3D val="0"/>
            <c:extLst>
              <c:ext xmlns:c16="http://schemas.microsoft.com/office/drawing/2014/chart" uri="{C3380CC4-5D6E-409C-BE32-E72D297353CC}">
                <c16:uniqueId val="{00000015-50AC-4038-A0FA-597624B61B06}"/>
              </c:ext>
            </c:extLst>
          </c:dPt>
          <c:dLbls>
            <c:dLbl>
              <c:idx val="0"/>
              <c:layout>
                <c:manualLayout>
                  <c:x val="1.7165957531190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0AC-4038-A0FA-597624B61B06}"/>
                </c:ext>
              </c:extLst>
            </c:dLbl>
            <c:dLbl>
              <c:idx val="1"/>
              <c:layout>
                <c:manualLayout>
                  <c:x val="3.7958731726646716E-3"/>
                  <c:y val="4.967072773276006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AC-4038-A0FA-597624B61B06}"/>
                </c:ext>
              </c:extLst>
            </c:dLbl>
            <c:dLbl>
              <c:idx val="2"/>
              <c:layout>
                <c:manualLayout>
                  <c:x val="5.4393847553040695E-3"/>
                  <c:y val="5.16796990648020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AC-4038-A0FA-597624B61B06}"/>
                </c:ext>
              </c:extLst>
            </c:dLbl>
            <c:dLbl>
              <c:idx val="3"/>
              <c:layout>
                <c:manualLayout>
                  <c:x val="9.684618865798876E-3"/>
                  <c:y val="-7.240713441506890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0AC-4038-A0FA-597624B61B06}"/>
                </c:ext>
              </c:extLst>
            </c:dLbl>
            <c:dLbl>
              <c:idx val="4"/>
              <c:layout>
                <c:manualLayout>
                  <c:x val="6.494895619369361E-3"/>
                  <c:y val="3.949525683734350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0AC-4038-A0FA-597624B61B06}"/>
                </c:ext>
              </c:extLst>
            </c:dLbl>
            <c:dLbl>
              <c:idx val="5"/>
              <c:layout>
                <c:manualLayout>
                  <c:x val="3.3051723729400021E-3"/>
                  <c:y val="-7.240713441506890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0AC-4038-A0FA-597624B61B06}"/>
                </c:ext>
              </c:extLst>
            </c:dLbl>
            <c:spPr>
              <a:solidFill>
                <a:schemeClr val="accent1"/>
              </a:solidFill>
            </c:spPr>
            <c:txPr>
              <a:bodyPr/>
              <a:lstStyle/>
              <a:p>
                <a:pPr>
                  <a:defRPr sz="800" b="1">
                    <a:solidFill>
                      <a:schemeClr val="bg1"/>
                    </a:solidFil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 NET'!$B$28:$G$28</c:f>
              <c:strCache>
                <c:ptCount val="6"/>
                <c:pt idx="0">
                  <c:v>2023</c:v>
                </c:pt>
                <c:pt idx="1">
                  <c:v>2024(p)</c:v>
                </c:pt>
                <c:pt idx="2">
                  <c:v>2025(p)</c:v>
                </c:pt>
                <c:pt idx="3">
                  <c:v>2026(p)</c:v>
                </c:pt>
                <c:pt idx="4">
                  <c:v>2027(p)</c:v>
                </c:pt>
                <c:pt idx="5">
                  <c:v>2028(p)</c:v>
                </c:pt>
              </c:strCache>
            </c:strRef>
          </c:cat>
          <c:val>
            <c:numRef>
              <c:f>'RESULTAT NET'!$C$5:$H$5</c:f>
              <c:numCache>
                <c:formatCode>#\ ##0.0</c:formatCode>
                <c:ptCount val="6"/>
                <c:pt idx="0">
                  <c:v>6303.9853344099993</c:v>
                </c:pt>
                <c:pt idx="1">
                  <c:v>6462.2994656360461</c:v>
                </c:pt>
                <c:pt idx="2">
                  <c:v>6590.4164607799939</c:v>
                </c:pt>
                <c:pt idx="3">
                  <c:v>6720.848514506667</c:v>
                </c:pt>
                <c:pt idx="4">
                  <c:v>6851.7113742032725</c:v>
                </c:pt>
                <c:pt idx="5">
                  <c:v>6982.6195774038297</c:v>
                </c:pt>
              </c:numCache>
            </c:numRef>
          </c:val>
          <c:extLst>
            <c:ext xmlns:c16="http://schemas.microsoft.com/office/drawing/2014/chart" uri="{C3380CC4-5D6E-409C-BE32-E72D297353CC}">
              <c16:uniqueId val="{00000017-50AC-4038-A0FA-597624B61B06}"/>
            </c:ext>
          </c:extLst>
        </c:ser>
        <c:dLbls>
          <c:showLegendKey val="0"/>
          <c:showVal val="0"/>
          <c:showCatName val="0"/>
          <c:showSerName val="0"/>
          <c:showPercent val="0"/>
          <c:showBubbleSize val="0"/>
        </c:dLbls>
        <c:gapWidth val="150"/>
        <c:axId val="138998240"/>
        <c:axId val="138996672"/>
      </c:barChart>
      <c:lineChart>
        <c:grouping val="standard"/>
        <c:varyColors val="0"/>
        <c:ser>
          <c:idx val="1"/>
          <c:order val="1"/>
          <c:tx>
            <c:v>Evolution des recettes totales</c:v>
          </c:tx>
          <c:spPr>
            <a:ln w="19050">
              <a:prstDash val="sysDot"/>
            </a:ln>
          </c:spPr>
          <c:dPt>
            <c:idx val="1"/>
            <c:bubble3D val="0"/>
            <c:spPr>
              <a:ln w="19050">
                <a:prstDash val="solid"/>
              </a:ln>
            </c:spPr>
            <c:extLst>
              <c:ext xmlns:c16="http://schemas.microsoft.com/office/drawing/2014/chart" uri="{C3380CC4-5D6E-409C-BE32-E72D297353CC}">
                <c16:uniqueId val="{00000019-50AC-4038-A0FA-597624B61B06}"/>
              </c:ext>
            </c:extLst>
          </c:dPt>
          <c:dPt>
            <c:idx val="2"/>
            <c:bubble3D val="0"/>
            <c:extLst>
              <c:ext xmlns:c16="http://schemas.microsoft.com/office/drawing/2014/chart" uri="{C3380CC4-5D6E-409C-BE32-E72D297353CC}">
                <c16:uniqueId val="{0000001A-50AC-4038-A0FA-597624B61B06}"/>
              </c:ext>
            </c:extLst>
          </c:dPt>
          <c:dPt>
            <c:idx val="3"/>
            <c:bubble3D val="0"/>
            <c:extLst>
              <c:ext xmlns:c16="http://schemas.microsoft.com/office/drawing/2014/chart" uri="{C3380CC4-5D6E-409C-BE32-E72D297353CC}">
                <c16:uniqueId val="{0000001B-50AC-4038-A0FA-597624B61B06}"/>
              </c:ext>
            </c:extLst>
          </c:dPt>
          <c:dPt>
            <c:idx val="4"/>
            <c:bubble3D val="0"/>
            <c:extLst>
              <c:ext xmlns:c16="http://schemas.microsoft.com/office/drawing/2014/chart" uri="{C3380CC4-5D6E-409C-BE32-E72D297353CC}">
                <c16:uniqueId val="{0000001C-50AC-4038-A0FA-597624B61B06}"/>
              </c:ext>
            </c:extLst>
          </c:dPt>
          <c:dPt>
            <c:idx val="5"/>
            <c:bubble3D val="0"/>
            <c:extLst>
              <c:ext xmlns:c16="http://schemas.microsoft.com/office/drawing/2014/chart" uri="{C3380CC4-5D6E-409C-BE32-E72D297353CC}">
                <c16:uniqueId val="{0000001D-50AC-4038-A0FA-597624B61B06}"/>
              </c:ext>
            </c:extLst>
          </c:dPt>
          <c:dPt>
            <c:idx val="6"/>
            <c:bubble3D val="0"/>
            <c:extLst>
              <c:ext xmlns:c16="http://schemas.microsoft.com/office/drawing/2014/chart" uri="{C3380CC4-5D6E-409C-BE32-E72D297353CC}">
                <c16:uniqueId val="{0000001E-50AC-4038-A0FA-597624B61B06}"/>
              </c:ext>
            </c:extLst>
          </c:dPt>
          <c:dPt>
            <c:idx val="7"/>
            <c:bubble3D val="0"/>
            <c:extLst>
              <c:ext xmlns:c16="http://schemas.microsoft.com/office/drawing/2014/chart" uri="{C3380CC4-5D6E-409C-BE32-E72D297353CC}">
                <c16:uniqueId val="{0000001F-50AC-4038-A0FA-597624B61B06}"/>
              </c:ext>
            </c:extLst>
          </c:dPt>
          <c:dPt>
            <c:idx val="8"/>
            <c:bubble3D val="0"/>
            <c:extLst>
              <c:ext xmlns:c16="http://schemas.microsoft.com/office/drawing/2014/chart" uri="{C3380CC4-5D6E-409C-BE32-E72D297353CC}">
                <c16:uniqueId val="{00000020-50AC-4038-A0FA-597624B61B06}"/>
              </c:ext>
            </c:extLst>
          </c:dPt>
          <c:dLbls>
            <c:dLbl>
              <c:idx val="0"/>
              <c:layout>
                <c:manualLayout>
                  <c:x val="-6.0602893151749389E-2"/>
                  <c:y val="-6.37385028374387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0AC-4038-A0FA-597624B61B06}"/>
                </c:ext>
              </c:extLst>
            </c:dLbl>
            <c:dLbl>
              <c:idx val="1"/>
              <c:layout>
                <c:manualLayout>
                  <c:x val="-2.6070496564002128E-2"/>
                  <c:y val="6.8200844887510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0AC-4038-A0FA-597624B61B06}"/>
                </c:ext>
              </c:extLst>
            </c:dLbl>
            <c:dLbl>
              <c:idx val="2"/>
              <c:layout>
                <c:manualLayout>
                  <c:x val="-1.8181413673982866E-2"/>
                  <c:y val="3.6214490282731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0AC-4038-A0FA-597624B61B06}"/>
                </c:ext>
              </c:extLst>
            </c:dLbl>
            <c:dLbl>
              <c:idx val="3"/>
              <c:layout>
                <c:manualLayout>
                  <c:x val="-4.3841812992296163E-2"/>
                  <c:y val="-4.4810328822314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0AC-4038-A0FA-597624B61B06}"/>
                </c:ext>
              </c:extLst>
            </c:dLbl>
            <c:dLbl>
              <c:idx val="4"/>
              <c:layout>
                <c:manualLayout>
                  <c:x val="-4.5040733939016496E-2"/>
                  <c:y val="6.3545176511055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0AC-4038-A0FA-597624B61B06}"/>
                </c:ext>
              </c:extLst>
            </c:dLbl>
            <c:dLbl>
              <c:idx val="5"/>
              <c:layout>
                <c:manualLayout>
                  <c:x val="-4.513775164590627E-2"/>
                  <c:y val="4.4704898904581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0AC-4038-A0FA-597624B61B06}"/>
                </c:ext>
              </c:extLst>
            </c:dLbl>
            <c:dLbl>
              <c:idx val="6"/>
              <c:layout>
                <c:manualLayout>
                  <c:x val="-1.3917884481558803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0AC-4038-A0FA-597624B61B06}"/>
                </c:ext>
              </c:extLst>
            </c:dLbl>
            <c:dLbl>
              <c:idx val="7"/>
              <c:layout>
                <c:manualLayout>
                  <c:x val="-1.9485038274182426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0AC-4038-A0FA-597624B61B06}"/>
                </c:ext>
              </c:extLst>
            </c:dLbl>
            <c:dLbl>
              <c:idx val="8"/>
              <c:layout>
                <c:manualLayout>
                  <c:x val="-1.6701461377870562E-2"/>
                  <c:y val="5.31561461794019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0AC-4038-A0FA-597624B61B06}"/>
                </c:ext>
              </c:extLst>
            </c:dLbl>
            <c:spPr>
              <a:solidFill>
                <a:schemeClr val="accent2">
                  <a:lumMod val="20000"/>
                  <a:lumOff val="80000"/>
                </a:schemeClr>
              </a:solidFill>
              <a:ln>
                <a:solidFill>
                  <a:srgbClr val="C00000"/>
                </a:solidFill>
              </a:ln>
            </c:spPr>
            <c:txPr>
              <a:bodyPr/>
              <a:lstStyle/>
              <a:p>
                <a:pPr>
                  <a:defRPr sz="900" i="1">
                    <a:solidFill>
                      <a:schemeClr val="accent2"/>
                    </a:solidFill>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6"/>
              <c:pt idx="0">
                <c:v>0</c:v>
              </c:pt>
              <c:pt idx="1">
                <c:v>0</c:v>
              </c:pt>
              <c:pt idx="2">
                <c:v>0</c:v>
              </c:pt>
              <c:pt idx="3">
                <c:v>0</c:v>
              </c:pt>
              <c:pt idx="4">
                <c:v>0</c:v>
              </c:pt>
              <c:pt idx="5">
                <c:v>0</c:v>
              </c:pt>
            </c:numLit>
          </c:cat>
          <c:val>
            <c:numRef>
              <c:f>'RESULTAT NET'!$B$18:$G$18</c:f>
              <c:numCache>
                <c:formatCode>\+0.0%;\-0.0%;General</c:formatCode>
                <c:ptCount val="6"/>
                <c:pt idx="0">
                  <c:v>2.2751729550209543E-2</c:v>
                </c:pt>
                <c:pt idx="1">
                  <c:v>3.8930383447187911E-2</c:v>
                </c:pt>
                <c:pt idx="2">
                  <c:v>3.3396406362335096E-2</c:v>
                </c:pt>
                <c:pt idx="3">
                  <c:v>3.3481776627156457E-2</c:v>
                </c:pt>
                <c:pt idx="4">
                  <c:v>3.3853625813726751E-2</c:v>
                </c:pt>
                <c:pt idx="5">
                  <c:v>3.221724814724336E-2</c:v>
                </c:pt>
              </c:numCache>
            </c:numRef>
          </c:val>
          <c:smooth val="0"/>
          <c:extLst>
            <c:ext xmlns:c16="http://schemas.microsoft.com/office/drawing/2014/chart" uri="{C3380CC4-5D6E-409C-BE32-E72D297353CC}">
              <c16:uniqueId val="{00000022-50AC-4038-A0FA-597624B61B06}"/>
            </c:ext>
          </c:extLst>
        </c:ser>
        <c:dLbls>
          <c:dLblPos val="ctr"/>
          <c:showLegendKey val="0"/>
          <c:showVal val="1"/>
          <c:showCatName val="0"/>
          <c:showSerName val="0"/>
          <c:showPercent val="0"/>
          <c:showBubbleSize val="0"/>
        </c:dLbls>
        <c:marker val="1"/>
        <c:smooth val="0"/>
        <c:axId val="444780776"/>
        <c:axId val="444775680"/>
      </c:lineChart>
      <c:catAx>
        <c:axId val="138998240"/>
        <c:scaling>
          <c:orientation val="minMax"/>
        </c:scaling>
        <c:delete val="0"/>
        <c:axPos val="b"/>
        <c:numFmt formatCode="General" sourceLinked="1"/>
        <c:majorTickMark val="out"/>
        <c:minorTickMark val="none"/>
        <c:tickLblPos val="nextTo"/>
        <c:txPr>
          <a:bodyPr/>
          <a:lstStyle/>
          <a:p>
            <a:pPr>
              <a:defRPr sz="800">
                <a:solidFill>
                  <a:schemeClr val="accent1">
                    <a:lumMod val="75000"/>
                  </a:schemeClr>
                </a:solidFill>
              </a:defRPr>
            </a:pPr>
            <a:endParaRPr lang="fr-FR"/>
          </a:p>
        </c:txPr>
        <c:crossAx val="138996672"/>
        <c:crosses val="autoZero"/>
        <c:auto val="1"/>
        <c:lblAlgn val="ctr"/>
        <c:lblOffset val="100"/>
        <c:noMultiLvlLbl val="0"/>
      </c:catAx>
      <c:valAx>
        <c:axId val="138996672"/>
        <c:scaling>
          <c:orientation val="minMax"/>
          <c:max val="20000"/>
          <c:min val="0"/>
        </c:scaling>
        <c:delete val="0"/>
        <c:axPos val="l"/>
        <c:numFmt formatCode="#\ ##0.0" sourceLinked="1"/>
        <c:majorTickMark val="out"/>
        <c:minorTickMark val="none"/>
        <c:tickLblPos val="nextTo"/>
        <c:txPr>
          <a:bodyPr/>
          <a:lstStyle/>
          <a:p>
            <a:pPr>
              <a:defRPr sz="800">
                <a:solidFill>
                  <a:schemeClr val="accent1">
                    <a:lumMod val="75000"/>
                  </a:schemeClr>
                </a:solidFill>
              </a:defRPr>
            </a:pPr>
            <a:endParaRPr lang="fr-FR"/>
          </a:p>
        </c:txPr>
        <c:crossAx val="138998240"/>
        <c:crosses val="autoZero"/>
        <c:crossBetween val="between"/>
        <c:majorUnit val="2000"/>
        <c:dispUnits>
          <c:builtInUnit val="thousands"/>
          <c:dispUnitsLbl>
            <c:layout>
              <c:manualLayout>
                <c:xMode val="edge"/>
                <c:yMode val="edge"/>
                <c:x val="3.7081888702323652E-3"/>
                <c:y val="0.34801803565451872"/>
              </c:manualLayout>
            </c:layout>
            <c:tx>
              <c:rich>
                <a:bodyPr/>
                <a:lstStyle/>
                <a:p>
                  <a:pPr>
                    <a:defRPr sz="800" b="1">
                      <a:solidFill>
                        <a:schemeClr val="accent1">
                          <a:lumMod val="75000"/>
                        </a:schemeClr>
                      </a:solidFill>
                    </a:defRPr>
                  </a:pPr>
                  <a:r>
                    <a:rPr lang="fr-FR"/>
                    <a:t>Milliards  d'euros</a:t>
                  </a:r>
                </a:p>
              </c:rich>
            </c:tx>
          </c:dispUnitsLbl>
        </c:dispUnits>
      </c:valAx>
      <c:valAx>
        <c:axId val="444775680"/>
        <c:scaling>
          <c:orientation val="minMax"/>
          <c:max val="6.0000000000000012E-2"/>
          <c:min val="0"/>
        </c:scaling>
        <c:delete val="0"/>
        <c:axPos val="r"/>
        <c:title>
          <c:tx>
            <c:rich>
              <a:bodyPr rot="-5400000" vert="horz"/>
              <a:lstStyle/>
              <a:p>
                <a:pPr>
                  <a:defRPr sz="800" b="0">
                    <a:solidFill>
                      <a:srgbClr val="C00000"/>
                    </a:solidFill>
                  </a:defRPr>
                </a:pPr>
                <a:r>
                  <a:rPr lang="fr-FR" sz="800" b="0">
                    <a:solidFill>
                      <a:srgbClr val="C00000"/>
                    </a:solidFill>
                  </a:rPr>
                  <a:t>Evolution en %</a:t>
                </a:r>
              </a:p>
            </c:rich>
          </c:tx>
          <c:layout>
            <c:manualLayout>
              <c:xMode val="edge"/>
              <c:yMode val="edge"/>
              <c:x val="0.96705151894472652"/>
              <c:y val="0.36227952738501956"/>
            </c:manualLayout>
          </c:layout>
          <c:overlay val="0"/>
        </c:title>
        <c:numFmt formatCode="\+0.0%;\-0.0%;General" sourceLinked="0"/>
        <c:majorTickMark val="out"/>
        <c:minorTickMark val="none"/>
        <c:tickLblPos val="nextTo"/>
        <c:txPr>
          <a:bodyPr/>
          <a:lstStyle/>
          <a:p>
            <a:pPr>
              <a:defRPr sz="800">
                <a:solidFill>
                  <a:schemeClr val="accent2"/>
                </a:solidFill>
              </a:defRPr>
            </a:pPr>
            <a:endParaRPr lang="fr-FR"/>
          </a:p>
        </c:txPr>
        <c:crossAx val="444780776"/>
        <c:crosses val="max"/>
        <c:crossBetween val="between"/>
        <c:majorUnit val="1.0000000000000002E-2"/>
      </c:valAx>
      <c:catAx>
        <c:axId val="444780776"/>
        <c:scaling>
          <c:orientation val="minMax"/>
        </c:scaling>
        <c:delete val="1"/>
        <c:axPos val="b"/>
        <c:numFmt formatCode="General" sourceLinked="1"/>
        <c:majorTickMark val="out"/>
        <c:minorTickMark val="none"/>
        <c:tickLblPos val="nextTo"/>
        <c:crossAx val="444775680"/>
        <c:crosses val="autoZero"/>
        <c:auto val="1"/>
        <c:lblAlgn val="ctr"/>
        <c:lblOffset val="100"/>
        <c:noMultiLvlLbl val="0"/>
      </c:catAx>
    </c:plotArea>
    <c:legend>
      <c:legendPos val="b"/>
      <c:legendEntry>
        <c:idx val="2"/>
        <c:txPr>
          <a:bodyPr/>
          <a:lstStyle/>
          <a:p>
            <a:pPr>
              <a:defRPr sz="900">
                <a:solidFill>
                  <a:srgbClr val="C00000"/>
                </a:solidFill>
              </a:defRPr>
            </a:pPr>
            <a:endParaRPr lang="fr-FR"/>
          </a:p>
        </c:txPr>
      </c:legendEntry>
      <c:layout>
        <c:manualLayout>
          <c:xMode val="edge"/>
          <c:yMode val="edge"/>
          <c:x val="3.3286898974344198E-2"/>
          <c:y val="0.90730930263398857"/>
          <c:w val="0.94458380218681937"/>
          <c:h val="9.2198442719746393E-2"/>
        </c:manualLayout>
      </c:layout>
      <c:overlay val="0"/>
      <c:txPr>
        <a:bodyPr/>
        <a:lstStyle/>
        <a:p>
          <a:pPr>
            <a:defRPr sz="900">
              <a:solidFill>
                <a:schemeClr val="accent1">
                  <a:lumMod val="75000"/>
                </a:schemeClr>
              </a:solidFill>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Maladie</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00-0A76-43FE-B588-0F85A3829570}"/>
              </c:ext>
            </c:extLst>
          </c:dPt>
          <c:dPt>
            <c:idx val="1"/>
            <c:invertIfNegative val="0"/>
            <c:bubble3D val="0"/>
            <c:extLst>
              <c:ext xmlns:c16="http://schemas.microsoft.com/office/drawing/2014/chart" uri="{C3380CC4-5D6E-409C-BE32-E72D297353CC}">
                <c16:uniqueId val="{00000001-0A76-43FE-B588-0F85A3829570}"/>
              </c:ext>
            </c:extLst>
          </c:dPt>
          <c:dPt>
            <c:idx val="2"/>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0A76-43FE-B588-0F85A3829570}"/>
              </c:ext>
            </c:extLst>
          </c:dPt>
          <c:dPt>
            <c:idx val="3"/>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0A76-43FE-B588-0F85A3829570}"/>
              </c:ext>
            </c:extLst>
          </c:dPt>
          <c:dPt>
            <c:idx val="4"/>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0A76-43FE-B588-0F85A3829570}"/>
              </c:ext>
            </c:extLst>
          </c:dPt>
          <c:dPt>
            <c:idx val="5"/>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0A76-43FE-B588-0F85A3829570}"/>
              </c:ext>
            </c:extLst>
          </c:dPt>
          <c:dPt>
            <c:idx val="6"/>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0A76-43FE-B588-0F85A3829570}"/>
              </c:ext>
            </c:extLst>
          </c:dPt>
          <c:cat>
            <c:strRef>
              <c:f>'Prest._cotisa.'!$C$47:$H$47</c:f>
              <c:strCache>
                <c:ptCount val="6"/>
                <c:pt idx="0">
                  <c:v>2023</c:v>
                </c:pt>
                <c:pt idx="1">
                  <c:v>2024(p)</c:v>
                </c:pt>
                <c:pt idx="2">
                  <c:v>2025(p)</c:v>
                </c:pt>
                <c:pt idx="3">
                  <c:v>2026(p)</c:v>
                </c:pt>
                <c:pt idx="4">
                  <c:v>2027(p)</c:v>
                </c:pt>
                <c:pt idx="5">
                  <c:v>2028(p)</c:v>
                </c:pt>
              </c:strCache>
            </c:strRef>
          </c:cat>
          <c:val>
            <c:numRef>
              <c:f>'Prest._cotisa.'!$C$48:$H$48</c:f>
              <c:numCache>
                <c:formatCode>#\ ##0.0</c:formatCode>
                <c:ptCount val="6"/>
                <c:pt idx="0">
                  <c:v>0.75758865468782599</c:v>
                </c:pt>
                <c:pt idx="1">
                  <c:v>1.0627632213447904</c:v>
                </c:pt>
                <c:pt idx="2">
                  <c:v>1.3905665474091671</c:v>
                </c:pt>
                <c:pt idx="3">
                  <c:v>1.5821433126812328</c:v>
                </c:pt>
                <c:pt idx="4">
                  <c:v>1.4858458744260508</c:v>
                </c:pt>
                <c:pt idx="5">
                  <c:v>1.489319974020676</c:v>
                </c:pt>
              </c:numCache>
            </c:numRef>
          </c:val>
          <c:extLst>
            <c:ext xmlns:c16="http://schemas.microsoft.com/office/drawing/2014/chart" uri="{C3380CC4-5D6E-409C-BE32-E72D297353CC}">
              <c16:uniqueId val="{0000000C-0A76-43FE-B588-0F85A3829570}"/>
            </c:ext>
          </c:extLst>
        </c:ser>
        <c:ser>
          <c:idx val="1"/>
          <c:order val="1"/>
          <c:tx>
            <c:v>ATMP</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0E-0A76-43FE-B588-0F85A3829570}"/>
              </c:ext>
            </c:extLst>
          </c:dPt>
          <c:dPt>
            <c:idx val="3"/>
            <c:invertIfNegative val="0"/>
            <c:bubble3D val="0"/>
            <c:extLst>
              <c:ext xmlns:c16="http://schemas.microsoft.com/office/drawing/2014/chart" uri="{C3380CC4-5D6E-409C-BE32-E72D297353CC}">
                <c16:uniqueId val="{00000010-0A76-43FE-B588-0F85A3829570}"/>
              </c:ext>
            </c:extLst>
          </c:dPt>
          <c:dPt>
            <c:idx val="4"/>
            <c:invertIfNegative val="0"/>
            <c:bubble3D val="0"/>
            <c:extLst>
              <c:ext xmlns:c16="http://schemas.microsoft.com/office/drawing/2014/chart" uri="{C3380CC4-5D6E-409C-BE32-E72D297353CC}">
                <c16:uniqueId val="{00000012-0A76-43FE-B588-0F85A3829570}"/>
              </c:ext>
            </c:extLst>
          </c:dPt>
          <c:dPt>
            <c:idx val="5"/>
            <c:invertIfNegative val="0"/>
            <c:bubble3D val="0"/>
            <c:extLst>
              <c:ext xmlns:c16="http://schemas.microsoft.com/office/drawing/2014/chart" uri="{C3380CC4-5D6E-409C-BE32-E72D297353CC}">
                <c16:uniqueId val="{00000014-0A76-43FE-B588-0F85A3829570}"/>
              </c:ext>
            </c:extLst>
          </c:dPt>
          <c:dPt>
            <c:idx val="6"/>
            <c:invertIfNegative val="0"/>
            <c:bubble3D val="0"/>
            <c:extLst>
              <c:ext xmlns:c16="http://schemas.microsoft.com/office/drawing/2014/chart" uri="{C3380CC4-5D6E-409C-BE32-E72D297353CC}">
                <c16:uniqueId val="{00000016-0A76-43FE-B588-0F85A3829570}"/>
              </c:ext>
            </c:extLst>
          </c:dPt>
          <c:cat>
            <c:strRef>
              <c:f>'Prest._cotisa.'!$C$47:$H$47</c:f>
              <c:strCache>
                <c:ptCount val="6"/>
                <c:pt idx="0">
                  <c:v>2023</c:v>
                </c:pt>
                <c:pt idx="1">
                  <c:v>2024(p)</c:v>
                </c:pt>
                <c:pt idx="2">
                  <c:v>2025(p)</c:v>
                </c:pt>
                <c:pt idx="3">
                  <c:v>2026(p)</c:v>
                </c:pt>
                <c:pt idx="4">
                  <c:v>2027(p)</c:v>
                </c:pt>
                <c:pt idx="5">
                  <c:v>2028(p)</c:v>
                </c:pt>
              </c:strCache>
            </c:strRef>
          </c:cat>
          <c:val>
            <c:numRef>
              <c:f>'Prest._cotisa.'!$C$49:$H$49</c:f>
              <c:numCache>
                <c:formatCode>#\ ##0.0</c:formatCode>
                <c:ptCount val="6"/>
                <c:pt idx="0">
                  <c:v>0.17226700734108527</c:v>
                </c:pt>
                <c:pt idx="1">
                  <c:v>0.11213784408792032</c:v>
                </c:pt>
                <c:pt idx="2">
                  <c:v>9.793753255016456E-2</c:v>
                </c:pt>
                <c:pt idx="3">
                  <c:v>0.10094794745481048</c:v>
                </c:pt>
                <c:pt idx="4">
                  <c:v>9.70966082765473E-2</c:v>
                </c:pt>
                <c:pt idx="5">
                  <c:v>9.3264916494040159E-2</c:v>
                </c:pt>
              </c:numCache>
            </c:numRef>
          </c:val>
          <c:extLst>
            <c:ext xmlns:c16="http://schemas.microsoft.com/office/drawing/2014/chart" uri="{C3380CC4-5D6E-409C-BE32-E72D297353CC}">
              <c16:uniqueId val="{00000017-0A76-43FE-B588-0F85A3829570}"/>
            </c:ext>
          </c:extLst>
        </c:ser>
        <c:ser>
          <c:idx val="2"/>
          <c:order val="2"/>
          <c:tx>
            <c:v>Retraite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9-0A76-43FE-B588-0F85A3829570}"/>
              </c:ext>
            </c:extLst>
          </c:dPt>
          <c:dPt>
            <c:idx val="3"/>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B-0A76-43FE-B588-0F85A3829570}"/>
              </c:ext>
            </c:extLst>
          </c:dPt>
          <c:dPt>
            <c:idx val="4"/>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D-0A76-43FE-B588-0F85A3829570}"/>
              </c:ext>
            </c:extLst>
          </c:dPt>
          <c:dPt>
            <c:idx val="5"/>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F-0A76-43FE-B588-0F85A3829570}"/>
              </c:ext>
            </c:extLst>
          </c:dPt>
          <c:dPt>
            <c:idx val="6"/>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1-0A76-43FE-B588-0F85A3829570}"/>
              </c:ext>
            </c:extLst>
          </c:dPt>
          <c:cat>
            <c:strRef>
              <c:f>'Prest._cotisa.'!$C$47:$H$47</c:f>
              <c:strCache>
                <c:ptCount val="6"/>
                <c:pt idx="0">
                  <c:v>2023</c:v>
                </c:pt>
                <c:pt idx="1">
                  <c:v>2024(p)</c:v>
                </c:pt>
                <c:pt idx="2">
                  <c:v>2025(p)</c:v>
                </c:pt>
                <c:pt idx="3">
                  <c:v>2026(p)</c:v>
                </c:pt>
                <c:pt idx="4">
                  <c:v>2027(p)</c:v>
                </c:pt>
                <c:pt idx="5">
                  <c:v>2028(p)</c:v>
                </c:pt>
              </c:strCache>
            </c:strRef>
          </c:cat>
          <c:val>
            <c:numRef>
              <c:f>'Prest._cotisa.'!$C$51:$H$51</c:f>
              <c:numCache>
                <c:formatCode>#\ ##0.0</c:formatCode>
                <c:ptCount val="6"/>
                <c:pt idx="0">
                  <c:v>2.2654065907983463</c:v>
                </c:pt>
                <c:pt idx="1">
                  <c:v>3.3580530710679888</c:v>
                </c:pt>
                <c:pt idx="2">
                  <c:v>1.8330721733702611</c:v>
                </c:pt>
                <c:pt idx="3">
                  <c:v>1.6116505925103817</c:v>
                </c:pt>
                <c:pt idx="4">
                  <c:v>1.7525773968542393</c:v>
                </c:pt>
                <c:pt idx="5">
                  <c:v>1.5494045320669776</c:v>
                </c:pt>
              </c:numCache>
            </c:numRef>
          </c:val>
          <c:extLst>
            <c:ext xmlns:c16="http://schemas.microsoft.com/office/drawing/2014/chart" uri="{C3380CC4-5D6E-409C-BE32-E72D297353CC}">
              <c16:uniqueId val="{00000022-0A76-43FE-B588-0F85A3829570}"/>
            </c:ext>
          </c:extLst>
        </c:ser>
        <c:ser>
          <c:idx val="3"/>
          <c:order val="3"/>
          <c:tx>
            <c:v>Famille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24-0A76-43FE-B588-0F85A3829570}"/>
              </c:ext>
            </c:extLst>
          </c:dPt>
          <c:dPt>
            <c:idx val="3"/>
            <c:invertIfNegative val="0"/>
            <c:bubble3D val="0"/>
            <c:extLst>
              <c:ext xmlns:c16="http://schemas.microsoft.com/office/drawing/2014/chart" uri="{C3380CC4-5D6E-409C-BE32-E72D297353CC}">
                <c16:uniqueId val="{00000026-0A76-43FE-B588-0F85A3829570}"/>
              </c:ext>
            </c:extLst>
          </c:dPt>
          <c:dPt>
            <c:idx val="4"/>
            <c:invertIfNegative val="0"/>
            <c:bubble3D val="0"/>
            <c:extLst>
              <c:ext xmlns:c16="http://schemas.microsoft.com/office/drawing/2014/chart" uri="{C3380CC4-5D6E-409C-BE32-E72D297353CC}">
                <c16:uniqueId val="{00000028-0A76-43FE-B588-0F85A3829570}"/>
              </c:ext>
            </c:extLst>
          </c:dPt>
          <c:dPt>
            <c:idx val="5"/>
            <c:invertIfNegative val="0"/>
            <c:bubble3D val="0"/>
            <c:extLst>
              <c:ext xmlns:c16="http://schemas.microsoft.com/office/drawing/2014/chart" uri="{C3380CC4-5D6E-409C-BE32-E72D297353CC}">
                <c16:uniqueId val="{0000002A-0A76-43FE-B588-0F85A3829570}"/>
              </c:ext>
            </c:extLst>
          </c:dPt>
          <c:dPt>
            <c:idx val="6"/>
            <c:invertIfNegative val="0"/>
            <c:bubble3D val="0"/>
            <c:extLst>
              <c:ext xmlns:c16="http://schemas.microsoft.com/office/drawing/2014/chart" uri="{C3380CC4-5D6E-409C-BE32-E72D297353CC}">
                <c16:uniqueId val="{0000002C-0A76-43FE-B588-0F85A3829570}"/>
              </c:ext>
            </c:extLst>
          </c:dPt>
          <c:cat>
            <c:strRef>
              <c:f>'Prest._cotisa.'!$C$47:$H$47</c:f>
              <c:strCache>
                <c:ptCount val="6"/>
                <c:pt idx="0">
                  <c:v>2023</c:v>
                </c:pt>
                <c:pt idx="1">
                  <c:v>2024(p)</c:v>
                </c:pt>
                <c:pt idx="2">
                  <c:v>2025(p)</c:v>
                </c:pt>
                <c:pt idx="3">
                  <c:v>2026(p)</c:v>
                </c:pt>
                <c:pt idx="4">
                  <c:v>2027(p)</c:v>
                </c:pt>
                <c:pt idx="5">
                  <c:v>2028(p)</c:v>
                </c:pt>
              </c:strCache>
            </c:strRef>
          </c:cat>
          <c:val>
            <c:numRef>
              <c:f>'Prest._cotisa.'!$C$50:$H$50</c:f>
              <c:numCache>
                <c:formatCode>#\ ##0.0</c:formatCode>
                <c:ptCount val="6"/>
                <c:pt idx="0">
                  <c:v>-0.4035133486858804</c:v>
                </c:pt>
                <c:pt idx="1">
                  <c:v>-0.35164070821834131</c:v>
                </c:pt>
                <c:pt idx="2">
                  <c:v>6.4803899766846196E-2</c:v>
                </c:pt>
                <c:pt idx="3">
                  <c:v>4.3655826823806088E-2</c:v>
                </c:pt>
                <c:pt idx="4">
                  <c:v>-7.1443539075370256E-3</c:v>
                </c:pt>
                <c:pt idx="5">
                  <c:v>1.7133788272631245E-3</c:v>
                </c:pt>
              </c:numCache>
            </c:numRef>
          </c:val>
          <c:extLst>
            <c:ext xmlns:c16="http://schemas.microsoft.com/office/drawing/2014/chart" uri="{C3380CC4-5D6E-409C-BE32-E72D297353CC}">
              <c16:uniqueId val="{0000002D-0A76-43FE-B588-0F85A3829570}"/>
            </c:ext>
          </c:extLst>
        </c:ser>
        <c:ser>
          <c:idx val="4"/>
          <c:order val="5"/>
          <c:tx>
            <c:v>SASPA</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'Prest._cotisa.'!$C$47:$H$47</c:f>
              <c:strCache>
                <c:ptCount val="6"/>
                <c:pt idx="0">
                  <c:v>2023</c:v>
                </c:pt>
                <c:pt idx="1">
                  <c:v>2024(p)</c:v>
                </c:pt>
                <c:pt idx="2">
                  <c:v>2025(p)</c:v>
                </c:pt>
                <c:pt idx="3">
                  <c:v>2026(p)</c:v>
                </c:pt>
                <c:pt idx="4">
                  <c:v>2027(p)</c:v>
                </c:pt>
                <c:pt idx="5">
                  <c:v>2028(p)</c:v>
                </c:pt>
              </c:strCache>
            </c:strRef>
          </c:cat>
          <c:val>
            <c:numRef>
              <c:f>'Prest._cotisa.'!$C$52:$H$52</c:f>
              <c:numCache>
                <c:formatCode>#\ ##0.0</c:formatCode>
                <c:ptCount val="6"/>
                <c:pt idx="0">
                  <c:v>0.14615075023374752</c:v>
                </c:pt>
                <c:pt idx="1">
                  <c:v>0.21560436649861303</c:v>
                </c:pt>
                <c:pt idx="2">
                  <c:v>0.16834064062214282</c:v>
                </c:pt>
                <c:pt idx="3">
                  <c:v>0.16398861056576433</c:v>
                </c:pt>
                <c:pt idx="4">
                  <c:v>0.16267620160543814</c:v>
                </c:pt>
                <c:pt idx="5">
                  <c:v>0.1533529366540835</c:v>
                </c:pt>
              </c:numCache>
            </c:numRef>
          </c:val>
          <c:extLst>
            <c:ext xmlns:c16="http://schemas.microsoft.com/office/drawing/2014/chart" uri="{C3380CC4-5D6E-409C-BE32-E72D297353CC}">
              <c16:uniqueId val="{0000002E-0A76-43FE-B588-0F85A3829570}"/>
            </c:ext>
          </c:extLst>
        </c:ser>
        <c:dLbls>
          <c:showLegendKey val="0"/>
          <c:showVal val="0"/>
          <c:showCatName val="0"/>
          <c:showSerName val="0"/>
          <c:showPercent val="0"/>
          <c:showBubbleSize val="0"/>
        </c:dLbls>
        <c:gapWidth val="150"/>
        <c:axId val="445436296"/>
        <c:axId val="445439432"/>
      </c:barChart>
      <c:lineChart>
        <c:grouping val="standard"/>
        <c:varyColors val="0"/>
        <c:ser>
          <c:idx val="5"/>
          <c:order val="4"/>
          <c:tx>
            <c:v>Evolution des prestations totales</c:v>
          </c:tx>
          <c:spPr>
            <a:ln w="31750" cap="rnd">
              <a:solidFill>
                <a:schemeClr val="accent5">
                  <a:lumMod val="60000"/>
                </a:schemeClr>
              </a:solidFill>
              <a:round/>
            </a:ln>
            <a:effectLst>
              <a:outerShdw blurRad="40000" dist="23000" dir="5400000" rotWithShape="0">
                <a:srgbClr val="000000">
                  <a:alpha val="35000"/>
                </a:srgbClr>
              </a:outerShdw>
            </a:effectLst>
          </c:spPr>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2"/>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0-0A76-43FE-B588-0F85A3829570}"/>
              </c:ext>
            </c:extLst>
          </c:dPt>
          <c:dPt>
            <c:idx val="3"/>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2-0A76-43FE-B588-0F85A3829570}"/>
              </c:ext>
            </c:extLst>
          </c:dPt>
          <c:dPt>
            <c:idx val="4"/>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4-0A76-43FE-B588-0F85A3829570}"/>
              </c:ext>
            </c:extLst>
          </c:dPt>
          <c:dPt>
            <c:idx val="5"/>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6-0A76-43FE-B588-0F85A3829570}"/>
              </c:ext>
            </c:extLst>
          </c:dPt>
          <c:dLbls>
            <c:dLbl>
              <c:idx val="0"/>
              <c:layout>
                <c:manualLayout>
                  <c:x val="-4.608653509039997E-2"/>
                  <c:y val="-6.8089638176057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A76-43FE-B588-0F85A3829570}"/>
                </c:ext>
              </c:extLst>
            </c:dLbl>
            <c:dLbl>
              <c:idx val="1"/>
              <c:layout>
                <c:manualLayout>
                  <c:x val="-3.7982695918840903E-2"/>
                  <c:y val="-3.7548014097334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0A76-43FE-B588-0F85A3829570}"/>
                </c:ext>
              </c:extLst>
            </c:dLbl>
            <c:dLbl>
              <c:idx val="2"/>
              <c:layout>
                <c:manualLayout>
                  <c:x val="6.590523544056235E-3"/>
                  <c:y val="-1.9159944456484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0A76-43FE-B588-0F85A382957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'Prest._cotisa.'!$C$47:$H$47</c:f>
              <c:strCache>
                <c:ptCount val="6"/>
                <c:pt idx="0">
                  <c:v>2023</c:v>
                </c:pt>
                <c:pt idx="1">
                  <c:v>2024(p)</c:v>
                </c:pt>
                <c:pt idx="2">
                  <c:v>2025(p)</c:v>
                </c:pt>
                <c:pt idx="3">
                  <c:v>2026(p)</c:v>
                </c:pt>
                <c:pt idx="4">
                  <c:v>2027(p)</c:v>
                </c:pt>
                <c:pt idx="5">
                  <c:v>2028(p)</c:v>
                </c:pt>
              </c:strCache>
            </c:strRef>
          </c:cat>
          <c:val>
            <c:numRef>
              <c:f>'Prest._cotisa.'!$D$26:$I$26</c:f>
              <c:numCache>
                <c:formatCode>\+0.0%;\-0.0%;General</c:formatCode>
                <c:ptCount val="6"/>
                <c:pt idx="0">
                  <c:v>3.0202768944137093E-2</c:v>
                </c:pt>
                <c:pt idx="1">
                  <c:v>4.427545950865408E-2</c:v>
                </c:pt>
                <c:pt idx="2">
                  <c:v>3.4978274607152082E-2</c:v>
                </c:pt>
                <c:pt idx="3">
                  <c:v>3.4470404505182461E-2</c:v>
                </c:pt>
                <c:pt idx="4">
                  <c:v>3.4495478594417373E-2</c:v>
                </c:pt>
                <c:pt idx="5">
                  <c:v>3.2662549201471158E-2</c:v>
                </c:pt>
              </c:numCache>
            </c:numRef>
          </c:val>
          <c:smooth val="0"/>
          <c:extLst>
            <c:ext xmlns:c16="http://schemas.microsoft.com/office/drawing/2014/chart" uri="{C3380CC4-5D6E-409C-BE32-E72D297353CC}">
              <c16:uniqueId val="{00000039-0A76-43FE-B588-0F85A3829570}"/>
            </c:ext>
          </c:extLst>
        </c:ser>
        <c:dLbls>
          <c:showLegendKey val="0"/>
          <c:showVal val="0"/>
          <c:showCatName val="0"/>
          <c:showSerName val="0"/>
          <c:showPercent val="0"/>
          <c:showBubbleSize val="0"/>
        </c:dLbls>
        <c:marker val="1"/>
        <c:smooth val="0"/>
        <c:axId val="445437080"/>
        <c:axId val="445438648"/>
      </c:lineChart>
      <c:catAx>
        <c:axId val="445436296"/>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439432"/>
        <c:crosses val="autoZero"/>
        <c:auto val="1"/>
        <c:lblAlgn val="ctr"/>
        <c:lblOffset val="100"/>
        <c:noMultiLvlLbl val="0"/>
      </c:catAx>
      <c:valAx>
        <c:axId val="445439432"/>
        <c:scaling>
          <c:orientation val="minMax"/>
          <c:max val="4"/>
          <c:min val="-1"/>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Contribution à l'évolution (en points)</a:t>
                </a:r>
              </a:p>
            </c:rich>
          </c:tx>
          <c:layout>
            <c:manualLayout>
              <c:xMode val="edge"/>
              <c:yMode val="edge"/>
              <c:x val="2.0926348229910741E-2"/>
              <c:y val="0.22473488991620899"/>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436296"/>
        <c:crosses val="autoZero"/>
        <c:crossBetween val="between"/>
        <c:majorUnit val="1"/>
      </c:valAx>
      <c:valAx>
        <c:axId val="445438648"/>
        <c:scaling>
          <c:orientation val="minMax"/>
          <c:max val="5.000000000000001E-2"/>
          <c:min val="0"/>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Evolution en %</a:t>
                </a:r>
              </a:p>
            </c:rich>
          </c:tx>
          <c:layout>
            <c:manualLayout>
              <c:xMode val="edge"/>
              <c:yMode val="edge"/>
              <c:x val="0.96742323259387442"/>
              <c:y val="0.36410997805602169"/>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0.0%;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437080"/>
        <c:crosses val="max"/>
        <c:crossBetween val="between"/>
        <c:majorUnit val="1.0000000000000002E-2"/>
      </c:valAx>
      <c:catAx>
        <c:axId val="445437080"/>
        <c:scaling>
          <c:orientation val="minMax"/>
        </c:scaling>
        <c:delete val="1"/>
        <c:axPos val="b"/>
        <c:numFmt formatCode="General" sourceLinked="1"/>
        <c:majorTickMark val="none"/>
        <c:minorTickMark val="none"/>
        <c:tickLblPos val="nextTo"/>
        <c:crossAx val="445438648"/>
        <c:crosses val="autoZero"/>
        <c:auto val="1"/>
        <c:lblAlgn val="ctr"/>
        <c:lblOffset val="100"/>
        <c:noMultiLvlLbl val="0"/>
      </c:catAx>
      <c:spPr>
        <a:noFill/>
        <a:ln>
          <a:noFill/>
        </a:ln>
        <a:effectLst/>
      </c:spPr>
    </c:plotArea>
    <c:legend>
      <c:legendPos val="b"/>
      <c:legendEntry>
        <c:idx val="5"/>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Maladie</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00-4E3B-4208-91B3-DFA5A5559E8A}"/>
              </c:ext>
            </c:extLst>
          </c:dPt>
          <c:dPt>
            <c:idx val="1"/>
            <c:invertIfNegative val="0"/>
            <c:bubble3D val="0"/>
            <c:extLst>
              <c:ext xmlns:c16="http://schemas.microsoft.com/office/drawing/2014/chart" uri="{C3380CC4-5D6E-409C-BE32-E72D297353CC}">
                <c16:uniqueId val="{00000001-4E3B-4208-91B3-DFA5A5559E8A}"/>
              </c:ext>
            </c:extLst>
          </c:dPt>
          <c:dPt>
            <c:idx val="2"/>
            <c:invertIfNegative val="0"/>
            <c:bubble3D val="0"/>
            <c:extLst>
              <c:ext xmlns:c16="http://schemas.microsoft.com/office/drawing/2014/chart" uri="{C3380CC4-5D6E-409C-BE32-E72D297353CC}">
                <c16:uniqueId val="{00000003-4E3B-4208-91B3-DFA5A5559E8A}"/>
              </c:ext>
            </c:extLst>
          </c:dPt>
          <c:dPt>
            <c:idx val="3"/>
            <c:invertIfNegative val="0"/>
            <c:bubble3D val="0"/>
            <c:extLst>
              <c:ext xmlns:c16="http://schemas.microsoft.com/office/drawing/2014/chart" uri="{C3380CC4-5D6E-409C-BE32-E72D297353CC}">
                <c16:uniqueId val="{00000005-4E3B-4208-91B3-DFA5A5559E8A}"/>
              </c:ext>
            </c:extLst>
          </c:dPt>
          <c:dPt>
            <c:idx val="4"/>
            <c:invertIfNegative val="0"/>
            <c:bubble3D val="0"/>
            <c:extLst>
              <c:ext xmlns:c16="http://schemas.microsoft.com/office/drawing/2014/chart" uri="{C3380CC4-5D6E-409C-BE32-E72D297353CC}">
                <c16:uniqueId val="{00000007-4E3B-4208-91B3-DFA5A5559E8A}"/>
              </c:ext>
            </c:extLst>
          </c:dPt>
          <c:dPt>
            <c:idx val="5"/>
            <c:invertIfNegative val="0"/>
            <c:bubble3D val="0"/>
            <c:extLst>
              <c:ext xmlns:c16="http://schemas.microsoft.com/office/drawing/2014/chart" uri="{C3380CC4-5D6E-409C-BE32-E72D297353CC}">
                <c16:uniqueId val="{00000009-4E3B-4208-91B3-DFA5A5559E8A}"/>
              </c:ext>
            </c:extLst>
          </c:dPt>
          <c:dPt>
            <c:idx val="6"/>
            <c:invertIfNegative val="0"/>
            <c:bubble3D val="0"/>
            <c:extLst>
              <c:ext xmlns:c16="http://schemas.microsoft.com/office/drawing/2014/chart" uri="{C3380CC4-5D6E-409C-BE32-E72D297353CC}">
                <c16:uniqueId val="{0000000B-4E3B-4208-91B3-DFA5A5559E8A}"/>
              </c:ext>
            </c:extLst>
          </c:dPt>
          <c:cat>
            <c:strRef>
              <c:f>'Prest._cotisa.'!$C$47:$H$47</c:f>
              <c:strCache>
                <c:ptCount val="6"/>
                <c:pt idx="0">
                  <c:v>2023</c:v>
                </c:pt>
                <c:pt idx="1">
                  <c:v>2024(p)</c:v>
                </c:pt>
                <c:pt idx="2">
                  <c:v>2025(p)</c:v>
                </c:pt>
                <c:pt idx="3">
                  <c:v>2026(p)</c:v>
                </c:pt>
                <c:pt idx="4">
                  <c:v>2027(p)</c:v>
                </c:pt>
                <c:pt idx="5">
                  <c:v>2028(p)</c:v>
                </c:pt>
              </c:strCache>
            </c:strRef>
          </c:cat>
          <c:val>
            <c:numRef>
              <c:f>'Prest._cotisa.'!$C$54:$H$54</c:f>
              <c:numCache>
                <c:formatCode>#\ ##0.0</c:formatCode>
                <c:ptCount val="6"/>
                <c:pt idx="0">
                  <c:v>1.5237835254190633</c:v>
                </c:pt>
                <c:pt idx="1">
                  <c:v>0.69379660023995382</c:v>
                </c:pt>
                <c:pt idx="2">
                  <c:v>0.53741039541696689</c:v>
                </c:pt>
                <c:pt idx="3">
                  <c:v>0.53875400403152851</c:v>
                </c:pt>
                <c:pt idx="4">
                  <c:v>0.52590645568900551</c:v>
                </c:pt>
                <c:pt idx="5">
                  <c:v>0.51184299854859783</c:v>
                </c:pt>
              </c:numCache>
            </c:numRef>
          </c:val>
          <c:extLst>
            <c:ext xmlns:c16="http://schemas.microsoft.com/office/drawing/2014/chart" uri="{C3380CC4-5D6E-409C-BE32-E72D297353CC}">
              <c16:uniqueId val="{0000000C-4E3B-4208-91B3-DFA5A5559E8A}"/>
            </c:ext>
          </c:extLst>
        </c:ser>
        <c:ser>
          <c:idx val="1"/>
          <c:order val="1"/>
          <c:tx>
            <c:v>ATMP</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0E-4E3B-4208-91B3-DFA5A5559E8A}"/>
              </c:ext>
            </c:extLst>
          </c:dPt>
          <c:dPt>
            <c:idx val="3"/>
            <c:invertIfNegative val="0"/>
            <c:bubble3D val="0"/>
            <c:extLst>
              <c:ext xmlns:c16="http://schemas.microsoft.com/office/drawing/2014/chart" uri="{C3380CC4-5D6E-409C-BE32-E72D297353CC}">
                <c16:uniqueId val="{00000010-4E3B-4208-91B3-DFA5A5559E8A}"/>
              </c:ext>
            </c:extLst>
          </c:dPt>
          <c:dPt>
            <c:idx val="4"/>
            <c:invertIfNegative val="0"/>
            <c:bubble3D val="0"/>
            <c:extLst>
              <c:ext xmlns:c16="http://schemas.microsoft.com/office/drawing/2014/chart" uri="{C3380CC4-5D6E-409C-BE32-E72D297353CC}">
                <c16:uniqueId val="{00000012-4E3B-4208-91B3-DFA5A5559E8A}"/>
              </c:ext>
            </c:extLst>
          </c:dPt>
          <c:dPt>
            <c:idx val="5"/>
            <c:invertIfNegative val="0"/>
            <c:bubble3D val="0"/>
            <c:extLst>
              <c:ext xmlns:c16="http://schemas.microsoft.com/office/drawing/2014/chart" uri="{C3380CC4-5D6E-409C-BE32-E72D297353CC}">
                <c16:uniqueId val="{00000014-4E3B-4208-91B3-DFA5A5559E8A}"/>
              </c:ext>
            </c:extLst>
          </c:dPt>
          <c:dPt>
            <c:idx val="6"/>
            <c:invertIfNegative val="0"/>
            <c:bubble3D val="0"/>
            <c:extLst>
              <c:ext xmlns:c16="http://schemas.microsoft.com/office/drawing/2014/chart" uri="{C3380CC4-5D6E-409C-BE32-E72D297353CC}">
                <c16:uniqueId val="{00000016-4E3B-4208-91B3-DFA5A5559E8A}"/>
              </c:ext>
            </c:extLst>
          </c:dPt>
          <c:cat>
            <c:strRef>
              <c:f>'Prest._cotisa.'!$C$47:$H$47</c:f>
              <c:strCache>
                <c:ptCount val="6"/>
                <c:pt idx="0">
                  <c:v>2023</c:v>
                </c:pt>
                <c:pt idx="1">
                  <c:v>2024(p)</c:v>
                </c:pt>
                <c:pt idx="2">
                  <c:v>2025(p)</c:v>
                </c:pt>
                <c:pt idx="3">
                  <c:v>2026(p)</c:v>
                </c:pt>
                <c:pt idx="4">
                  <c:v>2027(p)</c:v>
                </c:pt>
                <c:pt idx="5">
                  <c:v>2028(p)</c:v>
                </c:pt>
              </c:strCache>
            </c:strRef>
          </c:cat>
          <c:val>
            <c:numRef>
              <c:f>'Prest._cotisa.'!$C$55:$H$55</c:f>
              <c:numCache>
                <c:formatCode>#\ ##0.0</c:formatCode>
                <c:ptCount val="6"/>
                <c:pt idx="0">
                  <c:v>0.16789435045521744</c:v>
                </c:pt>
                <c:pt idx="1">
                  <c:v>9.6557687226392127E-3</c:v>
                </c:pt>
                <c:pt idx="2">
                  <c:v>0.17174447781326377</c:v>
                </c:pt>
                <c:pt idx="3">
                  <c:v>0.18007776797056091</c:v>
                </c:pt>
                <c:pt idx="4">
                  <c:v>0.18262702029346783</c:v>
                </c:pt>
                <c:pt idx="5">
                  <c:v>0.1850846426195594</c:v>
                </c:pt>
              </c:numCache>
            </c:numRef>
          </c:val>
          <c:extLst>
            <c:ext xmlns:c16="http://schemas.microsoft.com/office/drawing/2014/chart" uri="{C3380CC4-5D6E-409C-BE32-E72D297353CC}">
              <c16:uniqueId val="{00000017-4E3B-4208-91B3-DFA5A5559E8A}"/>
            </c:ext>
          </c:extLst>
        </c:ser>
        <c:ser>
          <c:idx val="2"/>
          <c:order val="2"/>
          <c:tx>
            <c:v>Retraite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9-4E3B-4208-91B3-DFA5A5559E8A}"/>
              </c:ext>
            </c:extLst>
          </c:dPt>
          <c:dPt>
            <c:idx val="3"/>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B-4E3B-4208-91B3-DFA5A5559E8A}"/>
              </c:ext>
            </c:extLst>
          </c:dPt>
          <c:dPt>
            <c:idx val="4"/>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D-4E3B-4208-91B3-DFA5A5559E8A}"/>
              </c:ext>
            </c:extLst>
          </c:dPt>
          <c:dPt>
            <c:idx val="5"/>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F-4E3B-4208-91B3-DFA5A5559E8A}"/>
              </c:ext>
            </c:extLst>
          </c:dPt>
          <c:dPt>
            <c:idx val="6"/>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1-4E3B-4208-91B3-DFA5A5559E8A}"/>
              </c:ext>
            </c:extLst>
          </c:dPt>
          <c:cat>
            <c:strRef>
              <c:f>'Prest._cotisa.'!$C$47:$H$47</c:f>
              <c:strCache>
                <c:ptCount val="6"/>
                <c:pt idx="0">
                  <c:v>2023</c:v>
                </c:pt>
                <c:pt idx="1">
                  <c:v>2024(p)</c:v>
                </c:pt>
                <c:pt idx="2">
                  <c:v>2025(p)</c:v>
                </c:pt>
                <c:pt idx="3">
                  <c:v>2026(p)</c:v>
                </c:pt>
                <c:pt idx="4">
                  <c:v>2027(p)</c:v>
                </c:pt>
                <c:pt idx="5">
                  <c:v>2028(p)</c:v>
                </c:pt>
              </c:strCache>
            </c:strRef>
          </c:cat>
          <c:val>
            <c:numRef>
              <c:f>'Prest._cotisa.'!$C$57:$H$57</c:f>
              <c:numCache>
                <c:formatCode>#\ ##0.0</c:formatCode>
                <c:ptCount val="6"/>
                <c:pt idx="0">
                  <c:v>3.7003264103107529</c:v>
                </c:pt>
                <c:pt idx="1">
                  <c:v>1.452921097981261</c:v>
                </c:pt>
                <c:pt idx="2">
                  <c:v>1.0599018792999684</c:v>
                </c:pt>
                <c:pt idx="3">
                  <c:v>1.0442600035680378</c:v>
                </c:pt>
                <c:pt idx="4">
                  <c:v>1.0302080557992084</c:v>
                </c:pt>
                <c:pt idx="5">
                  <c:v>1.0135951534704803</c:v>
                </c:pt>
              </c:numCache>
            </c:numRef>
          </c:val>
          <c:extLst>
            <c:ext xmlns:c16="http://schemas.microsoft.com/office/drawing/2014/chart" uri="{C3380CC4-5D6E-409C-BE32-E72D297353CC}">
              <c16:uniqueId val="{00000022-4E3B-4208-91B3-DFA5A5559E8A}"/>
            </c:ext>
          </c:extLst>
        </c:ser>
        <c:ser>
          <c:idx val="3"/>
          <c:order val="3"/>
          <c:tx>
            <c:v>Famille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24-4E3B-4208-91B3-DFA5A5559E8A}"/>
              </c:ext>
            </c:extLst>
          </c:dPt>
          <c:dPt>
            <c:idx val="3"/>
            <c:invertIfNegative val="0"/>
            <c:bubble3D val="0"/>
            <c:extLst>
              <c:ext xmlns:c16="http://schemas.microsoft.com/office/drawing/2014/chart" uri="{C3380CC4-5D6E-409C-BE32-E72D297353CC}">
                <c16:uniqueId val="{00000026-4E3B-4208-91B3-DFA5A5559E8A}"/>
              </c:ext>
            </c:extLst>
          </c:dPt>
          <c:dPt>
            <c:idx val="4"/>
            <c:invertIfNegative val="0"/>
            <c:bubble3D val="0"/>
            <c:extLst>
              <c:ext xmlns:c16="http://schemas.microsoft.com/office/drawing/2014/chart" uri="{C3380CC4-5D6E-409C-BE32-E72D297353CC}">
                <c16:uniqueId val="{00000028-4E3B-4208-91B3-DFA5A5559E8A}"/>
              </c:ext>
            </c:extLst>
          </c:dPt>
          <c:dPt>
            <c:idx val="5"/>
            <c:invertIfNegative val="0"/>
            <c:bubble3D val="0"/>
            <c:extLst>
              <c:ext xmlns:c16="http://schemas.microsoft.com/office/drawing/2014/chart" uri="{C3380CC4-5D6E-409C-BE32-E72D297353CC}">
                <c16:uniqueId val="{0000002A-4E3B-4208-91B3-DFA5A5559E8A}"/>
              </c:ext>
            </c:extLst>
          </c:dPt>
          <c:dPt>
            <c:idx val="6"/>
            <c:invertIfNegative val="0"/>
            <c:bubble3D val="0"/>
            <c:extLst>
              <c:ext xmlns:c16="http://schemas.microsoft.com/office/drawing/2014/chart" uri="{C3380CC4-5D6E-409C-BE32-E72D297353CC}">
                <c16:uniqueId val="{0000002C-4E3B-4208-91B3-DFA5A5559E8A}"/>
              </c:ext>
            </c:extLst>
          </c:dPt>
          <c:cat>
            <c:strRef>
              <c:f>'Prest._cotisa.'!$C$47:$H$47</c:f>
              <c:strCache>
                <c:ptCount val="6"/>
                <c:pt idx="0">
                  <c:v>2023</c:v>
                </c:pt>
                <c:pt idx="1">
                  <c:v>2024(p)</c:v>
                </c:pt>
                <c:pt idx="2">
                  <c:v>2025(p)</c:v>
                </c:pt>
                <c:pt idx="3">
                  <c:v>2026(p)</c:v>
                </c:pt>
                <c:pt idx="4">
                  <c:v>2027(p)</c:v>
                </c:pt>
                <c:pt idx="5">
                  <c:v>2028(p)</c:v>
                </c:pt>
              </c:strCache>
            </c:strRef>
          </c:cat>
          <c:val>
            <c:numRef>
              <c:f>'Prest._cotisa.'!$C$56:$H$56</c:f>
              <c:numCache>
                <c:formatCode>#\ ##0.0</c:formatCode>
                <c:ptCount val="6"/>
                <c:pt idx="0">
                  <c:v>0.60388521880282686</c:v>
                </c:pt>
                <c:pt idx="1">
                  <c:v>0.3549605991729628</c:v>
                </c:pt>
                <c:pt idx="2">
                  <c:v>0.21347277624237823</c:v>
                </c:pt>
                <c:pt idx="3">
                  <c:v>0.2160252423434296</c:v>
                </c:pt>
                <c:pt idx="4">
                  <c:v>0.20837659495698585</c:v>
                </c:pt>
                <c:pt idx="5">
                  <c:v>0.20006853139748221</c:v>
                </c:pt>
              </c:numCache>
            </c:numRef>
          </c:val>
          <c:extLst>
            <c:ext xmlns:c16="http://schemas.microsoft.com/office/drawing/2014/chart" uri="{C3380CC4-5D6E-409C-BE32-E72D297353CC}">
              <c16:uniqueId val="{0000002D-4E3B-4208-91B3-DFA5A5559E8A}"/>
            </c:ext>
          </c:extLst>
        </c:ser>
        <c:ser>
          <c:idx val="4"/>
          <c:order val="5"/>
          <c:tx>
            <c:v>SASPA</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'Prest._cotisa.'!$C$47:$H$47</c:f>
              <c:strCache>
                <c:ptCount val="6"/>
                <c:pt idx="0">
                  <c:v>2023</c:v>
                </c:pt>
                <c:pt idx="1">
                  <c:v>2024(p)</c:v>
                </c:pt>
                <c:pt idx="2">
                  <c:v>2025(p)</c:v>
                </c:pt>
                <c:pt idx="3">
                  <c:v>2026(p)</c:v>
                </c:pt>
                <c:pt idx="4">
                  <c:v>2027(p)</c:v>
                </c:pt>
                <c:pt idx="5">
                  <c:v>2028(p)</c:v>
                </c:pt>
              </c:strCache>
            </c:strRef>
          </c:cat>
          <c:val>
            <c:numRef>
              <c:f>'Prest._cotisa.'!$C$58:$H$58</c:f>
              <c:numCache>
                <c:formatCode>#\ ##0.0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E-4E3B-4208-91B3-DFA5A5559E8A}"/>
            </c:ext>
          </c:extLst>
        </c:ser>
        <c:dLbls>
          <c:showLegendKey val="0"/>
          <c:showVal val="0"/>
          <c:showCatName val="0"/>
          <c:showSerName val="0"/>
          <c:showPercent val="0"/>
          <c:showBubbleSize val="0"/>
        </c:dLbls>
        <c:gapWidth val="150"/>
        <c:axId val="445435120"/>
        <c:axId val="445437472"/>
      </c:barChart>
      <c:lineChart>
        <c:grouping val="standard"/>
        <c:varyColors val="0"/>
        <c:ser>
          <c:idx val="5"/>
          <c:order val="4"/>
          <c:tx>
            <c:v>Evolution des cotisations sociales</c:v>
          </c:tx>
          <c:spPr>
            <a:ln w="31750" cap="rnd">
              <a:solidFill>
                <a:schemeClr val="accent5">
                  <a:lumMod val="60000"/>
                </a:schemeClr>
              </a:solidFill>
              <a:round/>
            </a:ln>
            <a:effectLst>
              <a:outerShdw blurRad="40000" dist="23000" dir="5400000" rotWithShape="0">
                <a:srgbClr val="000000">
                  <a:alpha val="35000"/>
                </a:srgbClr>
              </a:outerShdw>
            </a:effectLst>
          </c:spPr>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2"/>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0-4E3B-4208-91B3-DFA5A5559E8A}"/>
              </c:ext>
            </c:extLst>
          </c:dPt>
          <c:dPt>
            <c:idx val="3"/>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2-4E3B-4208-91B3-DFA5A5559E8A}"/>
              </c:ext>
            </c:extLst>
          </c:dPt>
          <c:dPt>
            <c:idx val="4"/>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4-4E3B-4208-91B3-DFA5A5559E8A}"/>
              </c:ext>
            </c:extLst>
          </c:dPt>
          <c:dPt>
            <c:idx val="5"/>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6-4E3B-4208-91B3-DFA5A5559E8A}"/>
              </c:ext>
            </c:extLst>
          </c:dPt>
          <c:dLbls>
            <c:dLbl>
              <c:idx val="0"/>
              <c:layout>
                <c:manualLayout>
                  <c:x val="3.6284588404923157E-3"/>
                  <c:y val="-8.816240049918029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4E3B-4208-91B3-DFA5A5559E8A}"/>
                </c:ext>
              </c:extLst>
            </c:dLbl>
            <c:dLbl>
              <c:idx val="1"/>
              <c:layout>
                <c:manualLayout>
                  <c:x val="-1.3276097529205501E-2"/>
                  <c:y val="-6.4508351045549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4E3B-4208-91B3-DFA5A5559E8A}"/>
                </c:ext>
              </c:extLst>
            </c:dLbl>
            <c:dLbl>
              <c:idx val="2"/>
              <c:layout>
                <c:manualLayout>
                  <c:x val="-2.341725559021304E-2"/>
                  <c:y val="-6.27612406949450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4E3B-4208-91B3-DFA5A5559E8A}"/>
                </c:ext>
              </c:extLst>
            </c:dLbl>
            <c:dLbl>
              <c:idx val="3"/>
              <c:layout>
                <c:manualLayout>
                  <c:x val="-3.9433158522611464E-2"/>
                  <c:y val="-5.9237526942581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4E3B-4208-91B3-DFA5A5559E8A}"/>
                </c:ext>
              </c:extLst>
            </c:dLbl>
            <c:dLbl>
              <c:idx val="4"/>
              <c:layout>
                <c:manualLayout>
                  <c:x val="-3.6081642431874263E-2"/>
                  <c:y val="-5.08238927463102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4E3B-4208-91B3-DFA5A5559E8A}"/>
                </c:ext>
              </c:extLst>
            </c:dLbl>
            <c:dLbl>
              <c:idx val="5"/>
              <c:layout>
                <c:manualLayout>
                  <c:x val="-3.9774212428609235E-2"/>
                  <c:y val="-6.3111652732066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4E3B-4208-91B3-DFA5A5559E8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'Prest._cotisa.'!$C$47:$H$47</c:f>
              <c:strCache>
                <c:ptCount val="6"/>
                <c:pt idx="0">
                  <c:v>2023</c:v>
                </c:pt>
                <c:pt idx="1">
                  <c:v>2024(p)</c:v>
                </c:pt>
                <c:pt idx="2">
                  <c:v>2025(p)</c:v>
                </c:pt>
                <c:pt idx="3">
                  <c:v>2026(p)</c:v>
                </c:pt>
                <c:pt idx="4">
                  <c:v>2027(p)</c:v>
                </c:pt>
                <c:pt idx="5">
                  <c:v>2028(p)</c:v>
                </c:pt>
              </c:strCache>
            </c:strRef>
          </c:cat>
          <c:val>
            <c:numRef>
              <c:f>'Prest._cotisa.'!$D$32:$I$32</c:f>
              <c:numCache>
                <c:formatCode>\+0.0%;\-0.0%;General</c:formatCode>
                <c:ptCount val="6"/>
                <c:pt idx="0">
                  <c:v>6.0492178369768723E-2</c:v>
                </c:pt>
                <c:pt idx="1">
                  <c:v>2.5113340661168326E-2</c:v>
                </c:pt>
                <c:pt idx="2">
                  <c:v>1.9825295287725808E-2</c:v>
                </c:pt>
                <c:pt idx="3">
                  <c:v>1.9791170179135564E-2</c:v>
                </c:pt>
                <c:pt idx="4">
                  <c:v>1.9471181267386672E-2</c:v>
                </c:pt>
                <c:pt idx="5">
                  <c:v>1.910591326036104E-2</c:v>
                </c:pt>
              </c:numCache>
            </c:numRef>
          </c:val>
          <c:smooth val="0"/>
          <c:extLst>
            <c:ext xmlns:c16="http://schemas.microsoft.com/office/drawing/2014/chart" uri="{C3380CC4-5D6E-409C-BE32-E72D297353CC}">
              <c16:uniqueId val="{00000039-4E3B-4208-91B3-DFA5A5559E8A}"/>
            </c:ext>
          </c:extLst>
        </c:ser>
        <c:dLbls>
          <c:showLegendKey val="0"/>
          <c:showVal val="0"/>
          <c:showCatName val="0"/>
          <c:showSerName val="0"/>
          <c:showPercent val="0"/>
          <c:showBubbleSize val="0"/>
        </c:dLbls>
        <c:marker val="1"/>
        <c:smooth val="0"/>
        <c:axId val="445439824"/>
        <c:axId val="445437864"/>
      </c:lineChart>
      <c:catAx>
        <c:axId val="445435120"/>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437472"/>
        <c:crosses val="autoZero"/>
        <c:auto val="1"/>
        <c:lblAlgn val="ctr"/>
        <c:lblOffset val="100"/>
        <c:noMultiLvlLbl val="0"/>
      </c:catAx>
      <c:valAx>
        <c:axId val="445437472"/>
        <c:scaling>
          <c:orientation val="minMax"/>
          <c:max val="4"/>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Contribution à l'évolution (en points)</a:t>
                </a:r>
              </a:p>
            </c:rich>
          </c:tx>
          <c:layout>
            <c:manualLayout>
              <c:xMode val="edge"/>
              <c:yMode val="edge"/>
              <c:x val="7.2308952388816568E-3"/>
              <c:y val="0.17965394370589133"/>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435120"/>
        <c:crosses val="autoZero"/>
        <c:crossBetween val="between"/>
        <c:majorUnit val="1"/>
        <c:minorUnit val="0.1"/>
      </c:valAx>
      <c:valAx>
        <c:axId val="445437864"/>
        <c:scaling>
          <c:orientation val="minMax"/>
          <c:max val="7.0000000000000007E-2"/>
          <c:min val="0"/>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Evolution en %</a:t>
                </a:r>
              </a:p>
            </c:rich>
          </c:tx>
          <c:layout>
            <c:manualLayout>
              <c:xMode val="edge"/>
              <c:yMode val="edge"/>
              <c:x val="0.97116451736801768"/>
              <c:y val="0.33623959125313307"/>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0.0%;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439824"/>
        <c:crosses val="max"/>
        <c:crossBetween val="between"/>
        <c:majorUnit val="1.0000000000000002E-2"/>
      </c:valAx>
      <c:catAx>
        <c:axId val="445439824"/>
        <c:scaling>
          <c:orientation val="minMax"/>
        </c:scaling>
        <c:delete val="1"/>
        <c:axPos val="b"/>
        <c:numFmt formatCode="General" sourceLinked="1"/>
        <c:majorTickMark val="none"/>
        <c:minorTickMark val="none"/>
        <c:tickLblPos val="nextTo"/>
        <c:crossAx val="445437864"/>
        <c:crosses val="autoZero"/>
        <c:auto val="1"/>
        <c:lblAlgn val="ctr"/>
        <c:lblOffset val="100"/>
        <c:noMultiLvlLbl val="0"/>
      </c:catAx>
      <c:spPr>
        <a:noFill/>
        <a:ln>
          <a:noFill/>
        </a:ln>
        <a:effectLst/>
      </c:spPr>
    </c:plotArea>
    <c:legend>
      <c:legendPos val="b"/>
      <c:legendEntry>
        <c:idx val="5"/>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701772755418805E-2"/>
          <c:y val="2.9453474849634544E-2"/>
          <c:w val="0.85255863051260772"/>
          <c:h val="0.8489905913059036"/>
        </c:manualLayout>
      </c:layout>
      <c:barChart>
        <c:barDir val="col"/>
        <c:grouping val="stacked"/>
        <c:varyColors val="0"/>
        <c:ser>
          <c:idx val="0"/>
          <c:order val="0"/>
          <c:tx>
            <c:v>ATMP</c:v>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rect">
                <a:fillToRect l="100000" t="100000"/>
              </a:path>
              <a:tileRect r="-100000" b="-100000"/>
            </a:gradFill>
          </c:spPr>
          <c:invertIfNegative val="0"/>
          <c:dLbls>
            <c:dLbl>
              <c:idx val="0"/>
              <c:layout>
                <c:manualLayout>
                  <c:x val="-2.3529777616177745E-3"/>
                  <c:y val="-0.4152230881354683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F8-43A3-9D80-50D572210295}"/>
                </c:ext>
              </c:extLst>
            </c:dLbl>
            <c:dLbl>
              <c:idx val="1"/>
              <c:layout>
                <c:manualLayout>
                  <c:x val="-4.3399633392703519E-3"/>
                  <c:y val="-0.3292839026084394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F8-43A3-9D80-50D572210295}"/>
                </c:ext>
              </c:extLst>
            </c:dLbl>
            <c:dLbl>
              <c:idx val="2"/>
              <c:layout>
                <c:manualLayout>
                  <c:x val="4.339963339270312E-3"/>
                  <c:y val="-0.316242034445923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F8-43A3-9D80-50D572210295}"/>
                </c:ext>
              </c:extLst>
            </c:dLbl>
            <c:dLbl>
              <c:idx val="3"/>
              <c:layout>
                <c:manualLayout>
                  <c:x val="2.169981669635156E-3"/>
                  <c:y val="-0.322838118366423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F8-43A3-9D80-50D572210295}"/>
                </c:ext>
              </c:extLst>
            </c:dLbl>
            <c:dLbl>
              <c:idx val="4"/>
              <c:layout>
                <c:manualLayout>
                  <c:x val="-2.1699816696353152E-3"/>
                  <c:y val="-0.3342530007314365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F8-43A3-9D80-50D572210295}"/>
                </c:ext>
              </c:extLst>
            </c:dLbl>
            <c:dLbl>
              <c:idx val="5"/>
              <c:layout>
                <c:manualLayout>
                  <c:x val="-1.8299609198261827E-4"/>
                  <c:y val="-0.3390750880091771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F8-43A3-9D80-50D572210295}"/>
                </c:ext>
              </c:extLst>
            </c:dLbl>
            <c:spPr>
              <a:solidFill>
                <a:schemeClr val="accent4">
                  <a:lumMod val="60000"/>
                  <a:lumOff val="40000"/>
                </a:schemeClr>
              </a:solidFill>
            </c:spPr>
            <c:txPr>
              <a:bodyPr/>
              <a:lstStyle/>
              <a:p>
                <a:pPr>
                  <a:defRPr b="1" i="1">
                    <a:solidFill>
                      <a:schemeClr val="bg1"/>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'Prest._cotisa.'!$C$47:$H$47</c:f>
              <c:strCache>
                <c:ptCount val="6"/>
                <c:pt idx="0">
                  <c:v>2023</c:v>
                </c:pt>
                <c:pt idx="1">
                  <c:v>2024(p)</c:v>
                </c:pt>
                <c:pt idx="2">
                  <c:v>2025(p)</c:v>
                </c:pt>
                <c:pt idx="3">
                  <c:v>2026(p)</c:v>
                </c:pt>
                <c:pt idx="4">
                  <c:v>2027(p)</c:v>
                </c:pt>
                <c:pt idx="5">
                  <c:v>2028(p)</c:v>
                </c:pt>
              </c:strCache>
            </c:strRef>
          </c:cat>
          <c:val>
            <c:numRef>
              <c:f>SOLDES!$C$18:$H$18</c:f>
              <c:numCache>
                <c:formatCode>#\ ##0.0</c:formatCode>
                <c:ptCount val="6"/>
                <c:pt idx="0">
                  <c:v>60.565167089999932</c:v>
                </c:pt>
                <c:pt idx="1">
                  <c:v>43.808654973630951</c:v>
                </c:pt>
                <c:pt idx="2">
                  <c:v>45.227142333441179</c:v>
                </c:pt>
                <c:pt idx="3">
                  <c:v>46.362576466998121</c:v>
                </c:pt>
                <c:pt idx="4">
                  <c:v>46.725631735700517</c:v>
                </c:pt>
                <c:pt idx="5">
                  <c:v>48.865050767315324</c:v>
                </c:pt>
              </c:numCache>
            </c:numRef>
          </c:val>
          <c:extLst>
            <c:ext xmlns:c16="http://schemas.microsoft.com/office/drawing/2014/chart" uri="{C3380CC4-5D6E-409C-BE32-E72D297353CC}">
              <c16:uniqueId val="{00000006-72F8-43A3-9D80-50D572210295}"/>
            </c:ext>
          </c:extLst>
        </c:ser>
        <c:dLbls>
          <c:showLegendKey val="0"/>
          <c:showVal val="0"/>
          <c:showCatName val="0"/>
          <c:showSerName val="0"/>
          <c:showPercent val="0"/>
          <c:showBubbleSize val="0"/>
        </c:dLbls>
        <c:gapWidth val="150"/>
        <c:overlap val="100"/>
        <c:axId val="444776856"/>
        <c:axId val="444778424"/>
      </c:barChart>
      <c:catAx>
        <c:axId val="444776856"/>
        <c:scaling>
          <c:orientation val="minMax"/>
        </c:scaling>
        <c:delete val="0"/>
        <c:axPos val="b"/>
        <c:numFmt formatCode="General" sourceLinked="1"/>
        <c:majorTickMark val="out"/>
        <c:minorTickMark val="none"/>
        <c:tickLblPos val="low"/>
        <c:txPr>
          <a:bodyPr/>
          <a:lstStyle/>
          <a:p>
            <a:pPr>
              <a:defRPr>
                <a:solidFill>
                  <a:schemeClr val="accent1">
                    <a:lumMod val="75000"/>
                  </a:schemeClr>
                </a:solidFill>
              </a:defRPr>
            </a:pPr>
            <a:endParaRPr lang="fr-FR"/>
          </a:p>
        </c:txPr>
        <c:crossAx val="444778424"/>
        <c:crosses val="autoZero"/>
        <c:auto val="1"/>
        <c:lblAlgn val="ctr"/>
        <c:lblOffset val="100"/>
        <c:noMultiLvlLbl val="0"/>
      </c:catAx>
      <c:valAx>
        <c:axId val="444778424"/>
        <c:scaling>
          <c:orientation val="minMax"/>
          <c:max val="70"/>
          <c:min val="0"/>
        </c:scaling>
        <c:delete val="1"/>
        <c:axPos val="l"/>
        <c:title>
          <c:tx>
            <c:rich>
              <a:bodyPr rot="-5400000" vert="horz"/>
              <a:lstStyle/>
              <a:p>
                <a:pPr>
                  <a:defRPr b="0">
                    <a:solidFill>
                      <a:schemeClr val="accent1">
                        <a:lumMod val="75000"/>
                      </a:schemeClr>
                    </a:solidFill>
                  </a:defRPr>
                </a:pPr>
                <a:r>
                  <a:rPr lang="fr-FR" b="0">
                    <a:solidFill>
                      <a:schemeClr val="accent1">
                        <a:lumMod val="75000"/>
                      </a:schemeClr>
                    </a:solidFill>
                  </a:rPr>
                  <a:t>Millions</a:t>
                </a:r>
                <a:r>
                  <a:rPr lang="fr-FR" b="0" baseline="0">
                    <a:solidFill>
                      <a:schemeClr val="accent1">
                        <a:lumMod val="75000"/>
                      </a:schemeClr>
                    </a:solidFill>
                  </a:rPr>
                  <a:t> d'euros</a:t>
                </a:r>
                <a:endParaRPr lang="fr-FR" b="0">
                  <a:solidFill>
                    <a:schemeClr val="accent1">
                      <a:lumMod val="75000"/>
                    </a:schemeClr>
                  </a:solidFill>
                </a:endParaRPr>
              </a:p>
            </c:rich>
          </c:tx>
          <c:layout>
            <c:manualLayout>
              <c:xMode val="edge"/>
              <c:yMode val="edge"/>
              <c:x val="8.4471918728547951E-2"/>
              <c:y val="0.33119866131332321"/>
            </c:manualLayout>
          </c:layout>
          <c:overlay val="0"/>
        </c:title>
        <c:numFmt formatCode="#\ ##0.0" sourceLinked="1"/>
        <c:majorTickMark val="out"/>
        <c:minorTickMark val="none"/>
        <c:tickLblPos val="nextTo"/>
        <c:crossAx val="444776856"/>
        <c:crosses val="autoZero"/>
        <c:crossBetween val="between"/>
        <c:majorUnit val="10"/>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963576710080617E-2"/>
          <c:y val="9.3183975137860545E-2"/>
          <c:w val="0.79504978306528384"/>
          <c:h val="0.75318705642547767"/>
        </c:manualLayout>
      </c:layout>
      <c:barChart>
        <c:barDir val="col"/>
        <c:grouping val="clustered"/>
        <c:varyColors val="0"/>
        <c:ser>
          <c:idx val="0"/>
          <c:order val="0"/>
          <c:tx>
            <c:v>Cotisations sociales</c:v>
          </c:tx>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7D7B-4830-92F3-DB0A10E8D0C4}"/>
              </c:ext>
            </c:extLst>
          </c:dPt>
          <c:dPt>
            <c:idx val="1"/>
            <c:invertIfNegative val="0"/>
            <c:bubble3D val="0"/>
            <c:extLst>
              <c:ext xmlns:c16="http://schemas.microsoft.com/office/drawing/2014/chart" uri="{C3380CC4-5D6E-409C-BE32-E72D297353CC}">
                <c16:uniqueId val="{00000001-7D7B-4830-92F3-DB0A10E8D0C4}"/>
              </c:ext>
            </c:extLst>
          </c:dPt>
          <c:dPt>
            <c:idx val="2"/>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3-7D7B-4830-92F3-DB0A10E8D0C4}"/>
              </c:ext>
            </c:extLst>
          </c:dPt>
          <c:dPt>
            <c:idx val="3"/>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5-7D7B-4830-92F3-DB0A10E8D0C4}"/>
              </c:ext>
            </c:extLst>
          </c:dPt>
          <c:dPt>
            <c:idx val="4"/>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7-7D7B-4830-92F3-DB0A10E8D0C4}"/>
              </c:ext>
            </c:extLst>
          </c:dPt>
          <c:dPt>
            <c:idx val="5"/>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9-7D7B-4830-92F3-DB0A10E8D0C4}"/>
              </c:ext>
            </c:extLst>
          </c:dPt>
          <c:dPt>
            <c:idx val="6"/>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B-7D7B-4830-92F3-DB0A10E8D0C4}"/>
              </c:ext>
            </c:extLst>
          </c:dPt>
          <c:cat>
            <c:strRef>
              <c:f>'RESULTAT NET'!$B$28:$G$28</c:f>
              <c:strCache>
                <c:ptCount val="6"/>
                <c:pt idx="0">
                  <c:v>2023</c:v>
                </c:pt>
                <c:pt idx="1">
                  <c:v>2024(p)</c:v>
                </c:pt>
                <c:pt idx="2">
                  <c:v>2025(p)</c:v>
                </c:pt>
                <c:pt idx="3">
                  <c:v>2026(p)</c:v>
                </c:pt>
                <c:pt idx="4">
                  <c:v>2027(p)</c:v>
                </c:pt>
                <c:pt idx="5">
                  <c:v>2028(p)</c:v>
                </c:pt>
              </c:strCache>
            </c:strRef>
          </c:cat>
          <c:val>
            <c:numRef>
              <c:f>'RESULTAT NET'!$B$32:$G$32</c:f>
              <c:numCache>
                <c:formatCode>0.0</c:formatCode>
                <c:ptCount val="6"/>
                <c:pt idx="0">
                  <c:v>2.3166145992401006</c:v>
                </c:pt>
                <c:pt idx="1">
                  <c:v>0.99723221543140794</c:v>
                </c:pt>
                <c:pt idx="2">
                  <c:v>0.77677799594178276</c:v>
                </c:pt>
                <c:pt idx="3">
                  <c:v>0.7652574320601282</c:v>
                </c:pt>
                <c:pt idx="4">
                  <c:v>0.74291103101835487</c:v>
                </c:pt>
                <c:pt idx="5">
                  <c:v>0.71883333232797475</c:v>
                </c:pt>
              </c:numCache>
            </c:numRef>
          </c:val>
          <c:extLst>
            <c:ext xmlns:c16="http://schemas.microsoft.com/office/drawing/2014/chart" uri="{C3380CC4-5D6E-409C-BE32-E72D297353CC}">
              <c16:uniqueId val="{0000000C-7D7B-4830-92F3-DB0A10E8D0C4}"/>
            </c:ext>
          </c:extLst>
        </c:ser>
        <c:ser>
          <c:idx val="1"/>
          <c:order val="1"/>
          <c:tx>
            <c:v>Compensation démographique vieillesse</c:v>
          </c:tx>
          <c:spPr>
            <a:pattFill prst="pct80">
              <a:fgClr>
                <a:schemeClr val="accent1">
                  <a:lumMod val="60000"/>
                  <a:lumOff val="40000"/>
                </a:schemeClr>
              </a:fgClr>
              <a:bgClr>
                <a:schemeClr val="bg1"/>
              </a:bgClr>
            </a:pattFill>
          </c:spPr>
          <c:invertIfNegative val="0"/>
          <c:dPt>
            <c:idx val="2"/>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0E-7D7B-4830-92F3-DB0A10E8D0C4}"/>
              </c:ext>
            </c:extLst>
          </c:dPt>
          <c:dPt>
            <c:idx val="3"/>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0-7D7B-4830-92F3-DB0A10E8D0C4}"/>
              </c:ext>
            </c:extLst>
          </c:dPt>
          <c:dPt>
            <c:idx val="4"/>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2-7D7B-4830-92F3-DB0A10E8D0C4}"/>
              </c:ext>
            </c:extLst>
          </c:dPt>
          <c:dPt>
            <c:idx val="5"/>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4-7D7B-4830-92F3-DB0A10E8D0C4}"/>
              </c:ext>
            </c:extLst>
          </c:dPt>
          <c:dPt>
            <c:idx val="6"/>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6-7D7B-4830-92F3-DB0A10E8D0C4}"/>
              </c:ext>
            </c:extLst>
          </c:dPt>
          <c:cat>
            <c:strRef>
              <c:f>'RESULTAT NET'!$B$28:$G$28</c:f>
              <c:strCache>
                <c:ptCount val="6"/>
                <c:pt idx="0">
                  <c:v>2023</c:v>
                </c:pt>
                <c:pt idx="1">
                  <c:v>2024(p)</c:v>
                </c:pt>
                <c:pt idx="2">
                  <c:v>2025(p)</c:v>
                </c:pt>
                <c:pt idx="3">
                  <c:v>2026(p)</c:v>
                </c:pt>
                <c:pt idx="4">
                  <c:v>2027(p)</c:v>
                </c:pt>
                <c:pt idx="5">
                  <c:v>2028(p)</c:v>
                </c:pt>
              </c:strCache>
            </c:strRef>
          </c:cat>
          <c:val>
            <c:numRef>
              <c:f>'RESULTAT NET'!$B$33:$G$33</c:f>
              <c:numCache>
                <c:formatCode>0.0</c:formatCode>
                <c:ptCount val="6"/>
                <c:pt idx="0">
                  <c:v>0.6416787662943495</c:v>
                </c:pt>
                <c:pt idx="1">
                  <c:v>-0.12578992344518161</c:v>
                </c:pt>
                <c:pt idx="2">
                  <c:v>7.7618165862722174E-2</c:v>
                </c:pt>
                <c:pt idx="3">
                  <c:v>-4.151547670990384E-2</c:v>
                </c:pt>
                <c:pt idx="4">
                  <c:v>-8.3500271696771433E-2</c:v>
                </c:pt>
                <c:pt idx="5">
                  <c:v>-0.30601049284656245</c:v>
                </c:pt>
              </c:numCache>
            </c:numRef>
          </c:val>
          <c:extLst>
            <c:ext xmlns:c16="http://schemas.microsoft.com/office/drawing/2014/chart" uri="{C3380CC4-5D6E-409C-BE32-E72D297353CC}">
              <c16:uniqueId val="{00000017-7D7B-4830-92F3-DB0A10E8D0C4}"/>
            </c:ext>
          </c:extLst>
        </c:ser>
        <c:ser>
          <c:idx val="2"/>
          <c:order val="2"/>
          <c:tx>
            <c:v>CSG</c:v>
          </c:tx>
          <c:spPr>
            <a:solidFill>
              <a:schemeClr val="accent1">
                <a:lumMod val="75000"/>
              </a:schemeClr>
            </a:solidFill>
          </c:spPr>
          <c:invertIfNegative val="0"/>
          <c:dPt>
            <c:idx val="2"/>
            <c:invertIfNegative val="0"/>
            <c:bubble3D val="0"/>
            <c:spPr>
              <a:solidFill>
                <a:schemeClr val="accent1">
                  <a:lumMod val="75000"/>
                </a:schemeClr>
              </a:solidFill>
              <a:ln>
                <a:prstDash val="sysDot"/>
              </a:ln>
            </c:spPr>
            <c:extLst>
              <c:ext xmlns:c16="http://schemas.microsoft.com/office/drawing/2014/chart" uri="{C3380CC4-5D6E-409C-BE32-E72D297353CC}">
                <c16:uniqueId val="{00000019-7D7B-4830-92F3-DB0A10E8D0C4}"/>
              </c:ext>
            </c:extLst>
          </c:dPt>
          <c:dPt>
            <c:idx val="3"/>
            <c:invertIfNegative val="0"/>
            <c:bubble3D val="0"/>
            <c:spPr>
              <a:solidFill>
                <a:schemeClr val="accent1">
                  <a:lumMod val="75000"/>
                </a:schemeClr>
              </a:solidFill>
              <a:ln>
                <a:prstDash val="sysDot"/>
              </a:ln>
            </c:spPr>
            <c:extLst>
              <c:ext xmlns:c16="http://schemas.microsoft.com/office/drawing/2014/chart" uri="{C3380CC4-5D6E-409C-BE32-E72D297353CC}">
                <c16:uniqueId val="{0000001B-7D7B-4830-92F3-DB0A10E8D0C4}"/>
              </c:ext>
            </c:extLst>
          </c:dPt>
          <c:dPt>
            <c:idx val="4"/>
            <c:invertIfNegative val="0"/>
            <c:bubble3D val="0"/>
            <c:spPr>
              <a:solidFill>
                <a:schemeClr val="accent1">
                  <a:lumMod val="75000"/>
                </a:schemeClr>
              </a:solidFill>
              <a:ln>
                <a:prstDash val="sysDot"/>
              </a:ln>
            </c:spPr>
            <c:extLst>
              <c:ext xmlns:c16="http://schemas.microsoft.com/office/drawing/2014/chart" uri="{C3380CC4-5D6E-409C-BE32-E72D297353CC}">
                <c16:uniqueId val="{0000001D-7D7B-4830-92F3-DB0A10E8D0C4}"/>
              </c:ext>
            </c:extLst>
          </c:dPt>
          <c:dPt>
            <c:idx val="5"/>
            <c:invertIfNegative val="0"/>
            <c:bubble3D val="0"/>
            <c:spPr>
              <a:solidFill>
                <a:schemeClr val="accent1">
                  <a:lumMod val="75000"/>
                </a:schemeClr>
              </a:solidFill>
              <a:ln>
                <a:prstDash val="sysDot"/>
              </a:ln>
            </c:spPr>
            <c:extLst>
              <c:ext xmlns:c16="http://schemas.microsoft.com/office/drawing/2014/chart" uri="{C3380CC4-5D6E-409C-BE32-E72D297353CC}">
                <c16:uniqueId val="{0000001F-7D7B-4830-92F3-DB0A10E8D0C4}"/>
              </c:ext>
            </c:extLst>
          </c:dPt>
          <c:dPt>
            <c:idx val="6"/>
            <c:invertIfNegative val="0"/>
            <c:bubble3D val="0"/>
            <c:spPr>
              <a:solidFill>
                <a:schemeClr val="accent1">
                  <a:lumMod val="75000"/>
                </a:schemeClr>
              </a:solidFill>
              <a:ln>
                <a:prstDash val="sysDot"/>
              </a:ln>
            </c:spPr>
            <c:extLst>
              <c:ext xmlns:c16="http://schemas.microsoft.com/office/drawing/2014/chart" uri="{C3380CC4-5D6E-409C-BE32-E72D297353CC}">
                <c16:uniqueId val="{00000021-7D7B-4830-92F3-DB0A10E8D0C4}"/>
              </c:ext>
            </c:extLst>
          </c:dPt>
          <c:cat>
            <c:strRef>
              <c:f>'RESULTAT NET'!$B$28:$G$28</c:f>
              <c:strCache>
                <c:ptCount val="6"/>
                <c:pt idx="0">
                  <c:v>2023</c:v>
                </c:pt>
                <c:pt idx="1">
                  <c:v>2024(p)</c:v>
                </c:pt>
                <c:pt idx="2">
                  <c:v>2025(p)</c:v>
                </c:pt>
                <c:pt idx="3">
                  <c:v>2026(p)</c:v>
                </c:pt>
                <c:pt idx="4">
                  <c:v>2027(p)</c:v>
                </c:pt>
                <c:pt idx="5">
                  <c:v>2028(p)</c:v>
                </c:pt>
              </c:strCache>
            </c:strRef>
          </c:cat>
          <c:val>
            <c:numRef>
              <c:f>'RESULTAT NET'!$B$34:$G$34</c:f>
              <c:numCache>
                <c:formatCode>0.0</c:formatCode>
                <c:ptCount val="6"/>
                <c:pt idx="0">
                  <c:v>0.36128371119252356</c:v>
                </c:pt>
                <c:pt idx="1">
                  <c:v>0.20666662956795187</c:v>
                </c:pt>
                <c:pt idx="2">
                  <c:v>0.16828403604873235</c:v>
                </c:pt>
                <c:pt idx="3">
                  <c:v>0.15829569649483158</c:v>
                </c:pt>
                <c:pt idx="4">
                  <c:v>0.16015806410500888</c:v>
                </c:pt>
                <c:pt idx="5">
                  <c:v>0.16166221417336041</c:v>
                </c:pt>
              </c:numCache>
            </c:numRef>
          </c:val>
          <c:extLst>
            <c:ext xmlns:c16="http://schemas.microsoft.com/office/drawing/2014/chart" uri="{C3380CC4-5D6E-409C-BE32-E72D297353CC}">
              <c16:uniqueId val="{00000022-7D7B-4830-92F3-DB0A10E8D0C4}"/>
            </c:ext>
          </c:extLst>
        </c:ser>
        <c:ser>
          <c:idx val="3"/>
          <c:order val="3"/>
          <c:tx>
            <c:v>Impôts et taxes affectés</c:v>
          </c:tx>
          <c:spPr>
            <a:pattFill prst="dkVert">
              <a:fgClr>
                <a:schemeClr val="accent1">
                  <a:lumMod val="60000"/>
                  <a:lumOff val="40000"/>
                </a:schemeClr>
              </a:fgClr>
              <a:bgClr>
                <a:schemeClr val="bg1"/>
              </a:bgClr>
            </a:pattFill>
          </c:spPr>
          <c:invertIfNegative val="0"/>
          <c:dPt>
            <c:idx val="2"/>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4-7D7B-4830-92F3-DB0A10E8D0C4}"/>
              </c:ext>
            </c:extLst>
          </c:dPt>
          <c:dPt>
            <c:idx val="3"/>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6-7D7B-4830-92F3-DB0A10E8D0C4}"/>
              </c:ext>
            </c:extLst>
          </c:dPt>
          <c:dPt>
            <c:idx val="4"/>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8-7D7B-4830-92F3-DB0A10E8D0C4}"/>
              </c:ext>
            </c:extLst>
          </c:dPt>
          <c:dPt>
            <c:idx val="5"/>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A-7D7B-4830-92F3-DB0A10E8D0C4}"/>
              </c:ext>
            </c:extLst>
          </c:dPt>
          <c:dPt>
            <c:idx val="6"/>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C-7D7B-4830-92F3-DB0A10E8D0C4}"/>
              </c:ext>
            </c:extLst>
          </c:dPt>
          <c:cat>
            <c:strRef>
              <c:f>'RESULTAT NET'!$B$28:$G$28</c:f>
              <c:strCache>
                <c:ptCount val="6"/>
                <c:pt idx="0">
                  <c:v>2023</c:v>
                </c:pt>
                <c:pt idx="1">
                  <c:v>2024(p)</c:v>
                </c:pt>
                <c:pt idx="2">
                  <c:v>2025(p)</c:v>
                </c:pt>
                <c:pt idx="3">
                  <c:v>2026(p)</c:v>
                </c:pt>
                <c:pt idx="4">
                  <c:v>2027(p)</c:v>
                </c:pt>
                <c:pt idx="5">
                  <c:v>2028(p)</c:v>
                </c:pt>
              </c:strCache>
            </c:strRef>
          </c:cat>
          <c:val>
            <c:numRef>
              <c:f>'RESULTAT NET'!$B$35:$G$35</c:f>
              <c:numCache>
                <c:formatCode>0.0</c:formatCode>
                <c:ptCount val="6"/>
                <c:pt idx="0">
                  <c:v>4.1814654845094633E-2</c:v>
                </c:pt>
                <c:pt idx="1">
                  <c:v>-5.7184524014639894E-4</c:v>
                </c:pt>
                <c:pt idx="2">
                  <c:v>7.242559824391228E-3</c:v>
                </c:pt>
                <c:pt idx="3">
                  <c:v>3.3395250749720462E-3</c:v>
                </c:pt>
                <c:pt idx="4">
                  <c:v>3.4474536865745898E-3</c:v>
                </c:pt>
                <c:pt idx="5">
                  <c:v>3.5309810524587555E-3</c:v>
                </c:pt>
              </c:numCache>
            </c:numRef>
          </c:val>
          <c:extLst>
            <c:ext xmlns:c16="http://schemas.microsoft.com/office/drawing/2014/chart" uri="{C3380CC4-5D6E-409C-BE32-E72D297353CC}">
              <c16:uniqueId val="{0000002D-7D7B-4830-92F3-DB0A10E8D0C4}"/>
            </c:ext>
          </c:extLst>
        </c:ser>
        <c:ser>
          <c:idx val="4"/>
          <c:order val="5"/>
          <c:tx>
            <c:strRef>
              <c:f>'RESULTAT NET'!$A$38</c:f>
              <c:strCache>
                <c:ptCount val="1"/>
                <c:pt idx="0">
                  <c:v>Contribution du RG</c:v>
                </c:pt>
              </c:strCache>
            </c:strRef>
          </c:tx>
          <c:invertIfNegative val="0"/>
          <c:cat>
            <c:strRef>
              <c:f>'RESULTAT NET'!$B$28:$G$28</c:f>
              <c:strCache>
                <c:ptCount val="6"/>
                <c:pt idx="0">
                  <c:v>2023</c:v>
                </c:pt>
                <c:pt idx="1">
                  <c:v>2024(p)</c:v>
                </c:pt>
                <c:pt idx="2">
                  <c:v>2025(p)</c:v>
                </c:pt>
                <c:pt idx="3">
                  <c:v>2026(p)</c:v>
                </c:pt>
                <c:pt idx="4">
                  <c:v>2027(p)</c:v>
                </c:pt>
                <c:pt idx="5">
                  <c:v>2028(p)</c:v>
                </c:pt>
              </c:strCache>
            </c:strRef>
          </c:cat>
          <c:val>
            <c:numRef>
              <c:f>'RESULTAT NET'!$B$38:$G$38</c:f>
              <c:numCache>
                <c:formatCode>0.0</c:formatCode>
                <c:ptCount val="6"/>
                <c:pt idx="0">
                  <c:v>0.10683640608774415</c:v>
                </c:pt>
                <c:pt idx="1">
                  <c:v>1.1830381499600899</c:v>
                </c:pt>
                <c:pt idx="2">
                  <c:v>1.6303257474226156</c:v>
                </c:pt>
                <c:pt idx="3">
                  <c:v>1.8024778322229262</c:v>
                </c:pt>
                <c:pt idx="4">
                  <c:v>1.9205145064860603</c:v>
                </c:pt>
                <c:pt idx="5">
                  <c:v>2.0288766067402699</c:v>
                </c:pt>
              </c:numCache>
            </c:numRef>
          </c:val>
          <c:extLst>
            <c:ext xmlns:c16="http://schemas.microsoft.com/office/drawing/2014/chart" uri="{C3380CC4-5D6E-409C-BE32-E72D297353CC}">
              <c16:uniqueId val="{00000033-0029-4C86-94F2-51461DF295A7}"/>
            </c:ext>
          </c:extLst>
        </c:ser>
        <c:dLbls>
          <c:showLegendKey val="0"/>
          <c:showVal val="0"/>
          <c:showCatName val="0"/>
          <c:showSerName val="0"/>
          <c:showPercent val="0"/>
          <c:showBubbleSize val="0"/>
        </c:dLbls>
        <c:gapWidth val="150"/>
        <c:axId val="444778032"/>
        <c:axId val="444783128"/>
      </c:barChart>
      <c:lineChart>
        <c:grouping val="standard"/>
        <c:varyColors val="0"/>
        <c:ser>
          <c:idx val="5"/>
          <c:order val="4"/>
          <c:tx>
            <c:v>Evolution des recettes totales</c:v>
          </c:tx>
          <c:spPr>
            <a:ln>
              <a:solidFill>
                <a:srgbClr val="C00000"/>
              </a:solidFill>
              <a:prstDash val="sysDot"/>
            </a:ln>
          </c:spPr>
          <c:marker>
            <c:spPr>
              <a:solidFill>
                <a:srgbClr val="C00000"/>
              </a:solidFill>
              <a:ln>
                <a:solidFill>
                  <a:srgbClr val="C00000"/>
                </a:solidFill>
                <a:prstDash val="sysDot"/>
              </a:ln>
            </c:spPr>
          </c:marker>
          <c:dPt>
            <c:idx val="1"/>
            <c:marker>
              <c:spPr>
                <a:solidFill>
                  <a:srgbClr val="C00000"/>
                </a:solidFill>
                <a:ln>
                  <a:solidFill>
                    <a:srgbClr val="C00000"/>
                  </a:solidFill>
                  <a:prstDash val="solid"/>
                </a:ln>
              </c:spPr>
            </c:marker>
            <c:bubble3D val="0"/>
            <c:spPr>
              <a:ln>
                <a:solidFill>
                  <a:srgbClr val="C00000"/>
                </a:solidFill>
                <a:prstDash val="solid"/>
              </a:ln>
            </c:spPr>
            <c:extLst>
              <c:ext xmlns:c16="http://schemas.microsoft.com/office/drawing/2014/chart" uri="{C3380CC4-5D6E-409C-BE32-E72D297353CC}">
                <c16:uniqueId val="{00000037-7D7B-4830-92F3-DB0A10E8D0C4}"/>
              </c:ext>
            </c:extLst>
          </c:dPt>
          <c:dPt>
            <c:idx val="2"/>
            <c:bubble3D val="0"/>
            <c:extLst>
              <c:ext xmlns:c16="http://schemas.microsoft.com/office/drawing/2014/chart" uri="{C3380CC4-5D6E-409C-BE32-E72D297353CC}">
                <c16:uniqueId val="{0000002F-7D7B-4830-92F3-DB0A10E8D0C4}"/>
              </c:ext>
            </c:extLst>
          </c:dPt>
          <c:dPt>
            <c:idx val="3"/>
            <c:bubble3D val="0"/>
            <c:extLst>
              <c:ext xmlns:c16="http://schemas.microsoft.com/office/drawing/2014/chart" uri="{C3380CC4-5D6E-409C-BE32-E72D297353CC}">
                <c16:uniqueId val="{00000031-7D7B-4830-92F3-DB0A10E8D0C4}"/>
              </c:ext>
            </c:extLst>
          </c:dPt>
          <c:dPt>
            <c:idx val="4"/>
            <c:bubble3D val="0"/>
            <c:extLst>
              <c:ext xmlns:c16="http://schemas.microsoft.com/office/drawing/2014/chart" uri="{C3380CC4-5D6E-409C-BE32-E72D297353CC}">
                <c16:uniqueId val="{00000033-7D7B-4830-92F3-DB0A10E8D0C4}"/>
              </c:ext>
            </c:extLst>
          </c:dPt>
          <c:dPt>
            <c:idx val="5"/>
            <c:bubble3D val="0"/>
            <c:extLst>
              <c:ext xmlns:c16="http://schemas.microsoft.com/office/drawing/2014/chart" uri="{C3380CC4-5D6E-409C-BE32-E72D297353CC}">
                <c16:uniqueId val="{00000035-7D7B-4830-92F3-DB0A10E8D0C4}"/>
              </c:ext>
            </c:extLst>
          </c:dPt>
          <c:dLbls>
            <c:dLbl>
              <c:idx val="0"/>
              <c:layout>
                <c:manualLayout>
                  <c:x val="-2.6921781185909315E-2"/>
                  <c:y val="-5.27014845027911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7D7B-4830-92F3-DB0A10E8D0C4}"/>
                </c:ext>
              </c:extLst>
            </c:dLbl>
            <c:dLbl>
              <c:idx val="1"/>
              <c:layout>
                <c:manualLayout>
                  <c:x val="-5.4220475751821449E-2"/>
                  <c:y val="4.7744786449307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7D7B-4830-92F3-DB0A10E8D0C4}"/>
                </c:ext>
              </c:extLst>
            </c:dLbl>
            <c:dLbl>
              <c:idx val="2"/>
              <c:layout>
                <c:manualLayout>
                  <c:x val="-2.7746532506668174E-2"/>
                  <c:y val="-5.99841471254361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7D7B-4830-92F3-DB0A10E8D0C4}"/>
                </c:ext>
              </c:extLst>
            </c:dLbl>
            <c:dLbl>
              <c:idx val="3"/>
              <c:layout>
                <c:manualLayout>
                  <c:x val="-3.1864547598401495E-2"/>
                  <c:y val="-5.78406770822029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7D7B-4830-92F3-DB0A10E8D0C4}"/>
                </c:ext>
              </c:extLst>
            </c:dLbl>
            <c:dLbl>
              <c:idx val="4"/>
              <c:layout>
                <c:manualLayout>
                  <c:x val="-3.6811029106933131E-2"/>
                  <c:y val="7.72554046044255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7D7B-4830-92F3-DB0A10E8D0C4}"/>
                </c:ext>
              </c:extLst>
            </c:dLbl>
            <c:dLbl>
              <c:idx val="5"/>
              <c:layout>
                <c:manualLayout>
                  <c:x val="-3.8951768765667784E-2"/>
                  <c:y val="6.56087690300981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7D7B-4830-92F3-DB0A10E8D0C4}"/>
                </c:ext>
              </c:extLst>
            </c:dLbl>
            <c:spPr>
              <a:solidFill>
                <a:schemeClr val="accent2">
                  <a:lumMod val="20000"/>
                  <a:lumOff val="80000"/>
                </a:schemeClr>
              </a:solidFill>
            </c:spPr>
            <c:txPr>
              <a:bodyPr/>
              <a:lstStyle/>
              <a:p>
                <a:pPr>
                  <a:defRPr sz="900" b="1" i="1">
                    <a:solidFill>
                      <a:srgbClr val="C00000"/>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 NET'!$B$28:$G$28</c:f>
              <c:strCache>
                <c:ptCount val="6"/>
                <c:pt idx="0">
                  <c:v>2023</c:v>
                </c:pt>
                <c:pt idx="1">
                  <c:v>2024(p)</c:v>
                </c:pt>
                <c:pt idx="2">
                  <c:v>2025(p)</c:v>
                </c:pt>
                <c:pt idx="3">
                  <c:v>2026(p)</c:v>
                </c:pt>
                <c:pt idx="4">
                  <c:v>2027(p)</c:v>
                </c:pt>
                <c:pt idx="5">
                  <c:v>2028(p)</c:v>
                </c:pt>
              </c:strCache>
            </c:strRef>
          </c:cat>
          <c:val>
            <c:numRef>
              <c:f>'RESULTAT NET'!$B$18:$G$18</c:f>
              <c:numCache>
                <c:formatCode>\+0.0%;\-0.0%;General</c:formatCode>
                <c:ptCount val="6"/>
                <c:pt idx="0">
                  <c:v>2.2751729550209543E-2</c:v>
                </c:pt>
                <c:pt idx="1">
                  <c:v>3.8930383447187911E-2</c:v>
                </c:pt>
                <c:pt idx="2">
                  <c:v>3.3396406362335096E-2</c:v>
                </c:pt>
                <c:pt idx="3">
                  <c:v>3.3481776627156457E-2</c:v>
                </c:pt>
                <c:pt idx="4">
                  <c:v>3.3853625813726751E-2</c:v>
                </c:pt>
                <c:pt idx="5">
                  <c:v>3.221724814724336E-2</c:v>
                </c:pt>
              </c:numCache>
            </c:numRef>
          </c:val>
          <c:smooth val="0"/>
          <c:extLst>
            <c:ext xmlns:c16="http://schemas.microsoft.com/office/drawing/2014/chart" uri="{C3380CC4-5D6E-409C-BE32-E72D297353CC}">
              <c16:uniqueId val="{00000038-7D7B-4830-92F3-DB0A10E8D0C4}"/>
            </c:ext>
          </c:extLst>
        </c:ser>
        <c:dLbls>
          <c:showLegendKey val="0"/>
          <c:showVal val="0"/>
          <c:showCatName val="0"/>
          <c:showSerName val="0"/>
          <c:showPercent val="0"/>
          <c:showBubbleSize val="0"/>
        </c:dLbls>
        <c:marker val="1"/>
        <c:smooth val="0"/>
        <c:axId val="444779208"/>
        <c:axId val="444780384"/>
      </c:lineChart>
      <c:catAx>
        <c:axId val="444778032"/>
        <c:scaling>
          <c:orientation val="minMax"/>
        </c:scaling>
        <c:delete val="0"/>
        <c:axPos val="b"/>
        <c:numFmt formatCode="General" sourceLinked="1"/>
        <c:majorTickMark val="out"/>
        <c:minorTickMark val="none"/>
        <c:tickLblPos val="high"/>
        <c:txPr>
          <a:bodyPr/>
          <a:lstStyle/>
          <a:p>
            <a:pPr>
              <a:defRPr sz="1000" b="1">
                <a:solidFill>
                  <a:schemeClr val="accent1">
                    <a:lumMod val="75000"/>
                  </a:schemeClr>
                </a:solidFill>
              </a:defRPr>
            </a:pPr>
            <a:endParaRPr lang="fr-FR"/>
          </a:p>
        </c:txPr>
        <c:crossAx val="444783128"/>
        <c:crossesAt val="0"/>
        <c:auto val="1"/>
        <c:lblAlgn val="ctr"/>
        <c:lblOffset val="100"/>
        <c:noMultiLvlLbl val="0"/>
      </c:catAx>
      <c:valAx>
        <c:axId val="444783128"/>
        <c:scaling>
          <c:orientation val="minMax"/>
          <c:max val="3"/>
          <c:min val="-1"/>
        </c:scaling>
        <c:delete val="0"/>
        <c:axPos val="l"/>
        <c:title>
          <c:tx>
            <c:rich>
              <a:bodyPr rot="-5400000" vert="horz"/>
              <a:lstStyle/>
              <a:p>
                <a:pPr>
                  <a:defRPr sz="800" i="1">
                    <a:solidFill>
                      <a:schemeClr val="accent1">
                        <a:lumMod val="75000"/>
                      </a:schemeClr>
                    </a:solidFill>
                  </a:defRPr>
                </a:pPr>
                <a:r>
                  <a:rPr lang="fr-FR" sz="800" i="1">
                    <a:solidFill>
                      <a:schemeClr val="accent1">
                        <a:lumMod val="75000"/>
                      </a:schemeClr>
                    </a:solidFill>
                  </a:rPr>
                  <a:t>Contribution à l'évolution (en points)</a:t>
                </a:r>
              </a:p>
            </c:rich>
          </c:tx>
          <c:layout>
            <c:manualLayout>
              <c:xMode val="edge"/>
              <c:yMode val="edge"/>
              <c:x val="8.2766392826890041E-4"/>
              <c:y val="0.22636089701578499"/>
            </c:manualLayout>
          </c:layout>
          <c:overlay val="0"/>
        </c:title>
        <c:numFmt formatCode="#,##0.0" sourceLinked="0"/>
        <c:majorTickMark val="out"/>
        <c:minorTickMark val="none"/>
        <c:tickLblPos val="nextTo"/>
        <c:txPr>
          <a:bodyPr/>
          <a:lstStyle/>
          <a:p>
            <a:pPr>
              <a:defRPr sz="900">
                <a:solidFill>
                  <a:schemeClr val="accent1">
                    <a:lumMod val="75000"/>
                  </a:schemeClr>
                </a:solidFill>
              </a:defRPr>
            </a:pPr>
            <a:endParaRPr lang="fr-FR"/>
          </a:p>
        </c:txPr>
        <c:crossAx val="444778032"/>
        <c:crosses val="autoZero"/>
        <c:crossBetween val="between"/>
        <c:majorUnit val="1"/>
      </c:valAx>
      <c:valAx>
        <c:axId val="444780384"/>
        <c:scaling>
          <c:orientation val="minMax"/>
          <c:max val="4.0000000000000008E-2"/>
          <c:min val="2.0000000000000004E-2"/>
        </c:scaling>
        <c:delete val="0"/>
        <c:axPos val="r"/>
        <c:title>
          <c:tx>
            <c:rich>
              <a:bodyPr rot="-5400000" vert="horz"/>
              <a:lstStyle/>
              <a:p>
                <a:pPr>
                  <a:defRPr sz="800">
                    <a:solidFill>
                      <a:srgbClr val="C00000"/>
                    </a:solidFill>
                  </a:defRPr>
                </a:pPr>
                <a:r>
                  <a:rPr lang="fr-FR" sz="800">
                    <a:solidFill>
                      <a:srgbClr val="C00000"/>
                    </a:solidFill>
                  </a:rPr>
                  <a:t>Evolution en %</a:t>
                </a:r>
              </a:p>
            </c:rich>
          </c:tx>
          <c:layout>
            <c:manualLayout>
              <c:xMode val="edge"/>
              <c:yMode val="edge"/>
              <c:x val="0.96424569481399258"/>
              <c:y val="0.32914440707179582"/>
            </c:manualLayout>
          </c:layout>
          <c:overlay val="0"/>
        </c:title>
        <c:numFmt formatCode="\+0.0%;\-0.0%;General" sourceLinked="1"/>
        <c:majorTickMark val="out"/>
        <c:minorTickMark val="none"/>
        <c:tickLblPos val="nextTo"/>
        <c:txPr>
          <a:bodyPr/>
          <a:lstStyle/>
          <a:p>
            <a:pPr>
              <a:defRPr sz="900">
                <a:solidFill>
                  <a:srgbClr val="C00000"/>
                </a:solidFill>
              </a:defRPr>
            </a:pPr>
            <a:endParaRPr lang="fr-FR"/>
          </a:p>
        </c:txPr>
        <c:crossAx val="444779208"/>
        <c:crosses val="max"/>
        <c:crossBetween val="between"/>
        <c:majorUnit val="1.0000000000000002E-2"/>
      </c:valAx>
      <c:catAx>
        <c:axId val="444779208"/>
        <c:scaling>
          <c:orientation val="minMax"/>
        </c:scaling>
        <c:delete val="1"/>
        <c:axPos val="b"/>
        <c:numFmt formatCode="General" sourceLinked="1"/>
        <c:majorTickMark val="out"/>
        <c:minorTickMark val="none"/>
        <c:tickLblPos val="nextTo"/>
        <c:crossAx val="444780384"/>
        <c:crossesAt val="1.0000000000000002E-2"/>
        <c:auto val="1"/>
        <c:lblAlgn val="ctr"/>
        <c:lblOffset val="100"/>
        <c:noMultiLvlLbl val="0"/>
      </c:catAx>
      <c:spPr>
        <a:noFill/>
        <a:ln w="25400">
          <a:noFill/>
        </a:ln>
      </c:spPr>
    </c:plotArea>
    <c:legend>
      <c:legendPos val="b"/>
      <c:legendEntry>
        <c:idx val="5"/>
        <c:txPr>
          <a:bodyPr/>
          <a:lstStyle/>
          <a:p>
            <a:pPr>
              <a:defRPr sz="800">
                <a:solidFill>
                  <a:srgbClr val="C00000"/>
                </a:solidFill>
              </a:defRPr>
            </a:pPr>
            <a:endParaRPr lang="fr-FR"/>
          </a:p>
        </c:txPr>
      </c:legendEntry>
      <c:layout>
        <c:manualLayout>
          <c:xMode val="edge"/>
          <c:yMode val="edge"/>
          <c:x val="2.7120369956018329E-2"/>
          <c:y val="0.84540359871868687"/>
          <c:w val="0.96215651193010221"/>
          <c:h val="0.13906755384887681"/>
        </c:manualLayout>
      </c:layout>
      <c:overlay val="0"/>
      <c:txPr>
        <a:bodyPr/>
        <a:lstStyle/>
        <a:p>
          <a:pPr rtl="0">
            <a:defRPr sz="800">
              <a:solidFill>
                <a:schemeClr val="accent1">
                  <a:lumMod val="75000"/>
                </a:schemeClr>
              </a:solidFill>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Dépenses totales</c:v>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rect">
                <a:fillToRect l="100000" t="100000"/>
              </a:path>
              <a:tileRect r="-100000" b="-100000"/>
            </a:gradFill>
          </c:spPr>
          <c:invertIfNegative val="0"/>
          <c:dPt>
            <c:idx val="0"/>
            <c:invertIfNegative val="0"/>
            <c:bubble3D val="0"/>
            <c:extLst>
              <c:ext xmlns:c16="http://schemas.microsoft.com/office/drawing/2014/chart" uri="{C3380CC4-5D6E-409C-BE32-E72D297353CC}">
                <c16:uniqueId val="{00000000-0CF1-49A7-805C-E47582A7DC2E}"/>
              </c:ext>
            </c:extLst>
          </c:dPt>
          <c:dPt>
            <c:idx val="1"/>
            <c:invertIfNegative val="0"/>
            <c:bubble3D val="0"/>
            <c:extLst>
              <c:ext xmlns:c16="http://schemas.microsoft.com/office/drawing/2014/chart" uri="{C3380CC4-5D6E-409C-BE32-E72D297353CC}">
                <c16:uniqueId val="{00000002-0CF1-49A7-805C-E47582A7DC2E}"/>
              </c:ext>
            </c:extLst>
          </c:dPt>
          <c:dPt>
            <c:idx val="2"/>
            <c:invertIfNegative val="0"/>
            <c:bubble3D val="0"/>
            <c:extLst>
              <c:ext xmlns:c16="http://schemas.microsoft.com/office/drawing/2014/chart" uri="{C3380CC4-5D6E-409C-BE32-E72D297353CC}">
                <c16:uniqueId val="{00000004-0CF1-49A7-805C-E47582A7DC2E}"/>
              </c:ext>
            </c:extLst>
          </c:dPt>
          <c:dPt>
            <c:idx val="3"/>
            <c:invertIfNegative val="0"/>
            <c:bubble3D val="0"/>
            <c:extLst>
              <c:ext xmlns:c16="http://schemas.microsoft.com/office/drawing/2014/chart" uri="{C3380CC4-5D6E-409C-BE32-E72D297353CC}">
                <c16:uniqueId val="{00000006-0CF1-49A7-805C-E47582A7DC2E}"/>
              </c:ext>
            </c:extLst>
          </c:dPt>
          <c:dPt>
            <c:idx val="4"/>
            <c:invertIfNegative val="0"/>
            <c:bubble3D val="0"/>
            <c:extLst>
              <c:ext xmlns:c16="http://schemas.microsoft.com/office/drawing/2014/chart" uri="{C3380CC4-5D6E-409C-BE32-E72D297353CC}">
                <c16:uniqueId val="{00000008-0CF1-49A7-805C-E47582A7DC2E}"/>
              </c:ext>
            </c:extLst>
          </c:dPt>
          <c:dPt>
            <c:idx val="5"/>
            <c:invertIfNegative val="0"/>
            <c:bubble3D val="0"/>
            <c:extLst>
              <c:ext xmlns:c16="http://schemas.microsoft.com/office/drawing/2014/chart" uri="{C3380CC4-5D6E-409C-BE32-E72D297353CC}">
                <c16:uniqueId val="{0000000A-0CF1-49A7-805C-E47582A7DC2E}"/>
              </c:ext>
            </c:extLst>
          </c:dPt>
          <c:dLbls>
            <c:dLbl>
              <c:idx val="1"/>
              <c:layout>
                <c:manualLayout>
                  <c:x val="3.1419231443956797E-17"/>
                  <c:y val="4.20988698726708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F1-49A7-805C-E47582A7DC2E}"/>
                </c:ext>
              </c:extLst>
            </c:dLbl>
            <c:dLbl>
              <c:idx val="2"/>
              <c:layout>
                <c:manualLayout>
                  <c:x val="-2.6373626373626374E-2"/>
                  <c:y val="4.69446600865032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F1-49A7-805C-E47582A7DC2E}"/>
                </c:ext>
              </c:extLst>
            </c:dLbl>
            <c:dLbl>
              <c:idx val="3"/>
              <c:layout>
                <c:manualLayout>
                  <c:x val="0"/>
                  <c:y val="-1.42900742058404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CF1-49A7-805C-E47582A7DC2E}"/>
                </c:ext>
              </c:extLst>
            </c:dLbl>
            <c:dLbl>
              <c:idx val="4"/>
              <c:layout>
                <c:manualLayout>
                  <c:x val="-3.5088411443350374E-3"/>
                  <c:y val="-1.4300538014143784E-3"/>
                </c:manualLayout>
              </c:layout>
              <c:spPr>
                <a:solidFill>
                  <a:schemeClr val="accent5">
                    <a:lumMod val="75000"/>
                  </a:schemeClr>
                </a:solidFill>
                <a:ln>
                  <a:noFill/>
                </a:ln>
              </c:spPr>
              <c:txPr>
                <a:bodyPr/>
                <a:lstStyle/>
                <a:p>
                  <a:pPr>
                    <a:defRPr sz="800" b="1">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CF1-49A7-805C-E47582A7DC2E}"/>
                </c:ext>
              </c:extLst>
            </c:dLbl>
            <c:dLbl>
              <c:idx val="5"/>
              <c:layout>
                <c:manualLayout>
                  <c:x val="4.8588874416497355E-2"/>
                  <c:y val="2.9010775362481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CF1-49A7-805C-E47582A7DC2E}"/>
                </c:ext>
              </c:extLst>
            </c:dLbl>
            <c:spPr>
              <a:solidFill>
                <a:schemeClr val="accent5">
                  <a:lumMod val="75000"/>
                </a:schemeClr>
              </a:solidFill>
            </c:spPr>
            <c:txPr>
              <a:bodyPr/>
              <a:lstStyle/>
              <a:p>
                <a:pPr>
                  <a:defRPr sz="8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 NET'!$B$28:$G$28</c:f>
              <c:strCache>
                <c:ptCount val="6"/>
                <c:pt idx="0">
                  <c:v>2023</c:v>
                </c:pt>
                <c:pt idx="1">
                  <c:v>2024(p)</c:v>
                </c:pt>
                <c:pt idx="2">
                  <c:v>2025(p)</c:v>
                </c:pt>
                <c:pt idx="3">
                  <c:v>2026(p)</c:v>
                </c:pt>
                <c:pt idx="4">
                  <c:v>2027(p)</c:v>
                </c:pt>
                <c:pt idx="5">
                  <c:v>2028(p)</c:v>
                </c:pt>
              </c:strCache>
            </c:strRef>
          </c:cat>
          <c:val>
            <c:numRef>
              <c:f>'RESULTAT NET'!$C$2:$H$2</c:f>
              <c:numCache>
                <c:formatCode>#\ ##0.0</c:formatCode>
                <c:ptCount val="6"/>
                <c:pt idx="0">
                  <c:v>15814.74805369</c:v>
                </c:pt>
                <c:pt idx="1">
                  <c:v>16449.577590940229</c:v>
                </c:pt>
                <c:pt idx="2">
                  <c:v>16998.978932939903</c:v>
                </c:pt>
                <c:pt idx="3">
                  <c:v>17568.513799405871</c:v>
                </c:pt>
                <c:pt idx="4">
                  <c:v>18164.478177721023</c:v>
                </c:pt>
                <c:pt idx="5">
                  <c:v>18749.053630878701</c:v>
                </c:pt>
              </c:numCache>
            </c:numRef>
          </c:val>
          <c:extLst>
            <c:ext xmlns:c16="http://schemas.microsoft.com/office/drawing/2014/chart" uri="{C3380CC4-5D6E-409C-BE32-E72D297353CC}">
              <c16:uniqueId val="{0000000B-0CF1-49A7-805C-E47582A7DC2E}"/>
            </c:ext>
          </c:extLst>
        </c:ser>
        <c:ser>
          <c:idx val="2"/>
          <c:order val="2"/>
          <c:tx>
            <c:v>Prestations sociales</c:v>
          </c:tx>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rect">
                <a:fillToRect l="100000" t="100000"/>
              </a:path>
              <a:tileRect r="-100000" b="-100000"/>
            </a:gradFill>
          </c:spPr>
          <c:invertIfNegative val="0"/>
          <c:dPt>
            <c:idx val="1"/>
            <c:invertIfNegative val="0"/>
            <c:bubble3D val="0"/>
            <c:extLst>
              <c:ext xmlns:c16="http://schemas.microsoft.com/office/drawing/2014/chart" uri="{C3380CC4-5D6E-409C-BE32-E72D297353CC}">
                <c16:uniqueId val="{0000000D-0CF1-49A7-805C-E47582A7DC2E}"/>
              </c:ext>
            </c:extLst>
          </c:dPt>
          <c:dPt>
            <c:idx val="2"/>
            <c:invertIfNegative val="0"/>
            <c:bubble3D val="0"/>
            <c:extLst>
              <c:ext xmlns:c16="http://schemas.microsoft.com/office/drawing/2014/chart" uri="{C3380CC4-5D6E-409C-BE32-E72D297353CC}">
                <c16:uniqueId val="{0000000F-0CF1-49A7-805C-E47582A7DC2E}"/>
              </c:ext>
            </c:extLst>
          </c:dPt>
          <c:dPt>
            <c:idx val="3"/>
            <c:invertIfNegative val="0"/>
            <c:bubble3D val="0"/>
            <c:extLst>
              <c:ext xmlns:c16="http://schemas.microsoft.com/office/drawing/2014/chart" uri="{C3380CC4-5D6E-409C-BE32-E72D297353CC}">
                <c16:uniqueId val="{00000011-0CF1-49A7-805C-E47582A7DC2E}"/>
              </c:ext>
            </c:extLst>
          </c:dPt>
          <c:dPt>
            <c:idx val="4"/>
            <c:invertIfNegative val="0"/>
            <c:bubble3D val="0"/>
            <c:extLst>
              <c:ext xmlns:c16="http://schemas.microsoft.com/office/drawing/2014/chart" uri="{C3380CC4-5D6E-409C-BE32-E72D297353CC}">
                <c16:uniqueId val="{00000013-0CF1-49A7-805C-E47582A7DC2E}"/>
              </c:ext>
            </c:extLst>
          </c:dPt>
          <c:dPt>
            <c:idx val="5"/>
            <c:invertIfNegative val="0"/>
            <c:bubble3D val="0"/>
            <c:extLst>
              <c:ext xmlns:c16="http://schemas.microsoft.com/office/drawing/2014/chart" uri="{C3380CC4-5D6E-409C-BE32-E72D297353CC}">
                <c16:uniqueId val="{00000015-0CF1-49A7-805C-E47582A7DC2E}"/>
              </c:ext>
            </c:extLst>
          </c:dPt>
          <c:dLbls>
            <c:dLbl>
              <c:idx val="0"/>
              <c:layout>
                <c:manualLayout>
                  <c:x val="2.57028112449799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CF1-49A7-805C-E47582A7DC2E}"/>
                </c:ext>
              </c:extLst>
            </c:dLbl>
            <c:dLbl>
              <c:idx val="1"/>
              <c:layout>
                <c:manualLayout>
                  <c:x val="2.513801159470451E-2"/>
                  <c:y val="8.91649107241876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F1-49A7-805C-E47582A7DC2E}"/>
                </c:ext>
              </c:extLst>
            </c:dLbl>
            <c:dLbl>
              <c:idx val="2"/>
              <c:layout>
                <c:manualLayout>
                  <c:x val="2.891566265060241E-2"/>
                  <c:y val="5.16795865633074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F1-49A7-805C-E47582A7DC2E}"/>
                </c:ext>
              </c:extLst>
            </c:dLbl>
            <c:dLbl>
              <c:idx val="3"/>
              <c:layout>
                <c:manualLayout>
                  <c:x val="2.2489959839357431E-2"/>
                  <c:y val="2.9607754437255797E-1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CF1-49A7-805C-E47582A7DC2E}"/>
                </c:ext>
              </c:extLst>
            </c:dLbl>
            <c:dLbl>
              <c:idx val="4"/>
              <c:layout>
                <c:manualLayout>
                  <c:x val="2.57028112449799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CF1-49A7-805C-E47582A7DC2E}"/>
                </c:ext>
              </c:extLst>
            </c:dLbl>
            <c:dLbl>
              <c:idx val="5"/>
              <c:layout>
                <c:manualLayout>
                  <c:x val="2.8915722257305387E-2"/>
                  <c:y val="2.08044405522121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CF1-49A7-805C-E47582A7DC2E}"/>
                </c:ext>
              </c:extLst>
            </c:dLbl>
            <c:spPr>
              <a:solidFill>
                <a:schemeClr val="accent1"/>
              </a:solidFill>
            </c:spPr>
            <c:txPr>
              <a:bodyPr/>
              <a:lstStyle/>
              <a:p>
                <a:pPr>
                  <a:defRPr sz="800" b="1">
                    <a:solidFill>
                      <a:schemeClr val="bg1"/>
                    </a:solidFil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 NET'!$B$28:$G$28</c:f>
              <c:strCache>
                <c:ptCount val="6"/>
                <c:pt idx="0">
                  <c:v>2023</c:v>
                </c:pt>
                <c:pt idx="1">
                  <c:v>2024(p)</c:v>
                </c:pt>
                <c:pt idx="2">
                  <c:v>2025(p)</c:v>
                </c:pt>
                <c:pt idx="3">
                  <c:v>2026(p)</c:v>
                </c:pt>
                <c:pt idx="4">
                  <c:v>2027(p)</c:v>
                </c:pt>
                <c:pt idx="5">
                  <c:v>2028(p)</c:v>
                </c:pt>
              </c:strCache>
            </c:strRef>
          </c:cat>
          <c:val>
            <c:numRef>
              <c:f>'RESULTAT NET'!$C$3:$H$3</c:f>
              <c:numCache>
                <c:formatCode>#\ ##0.0</c:formatCode>
                <c:ptCount val="6"/>
                <c:pt idx="0">
                  <c:v>13957.312436729999</c:v>
                </c:pt>
                <c:pt idx="1">
                  <c:v>14575.278858372072</c:v>
                </c:pt>
                <c:pt idx="2">
                  <c:v>15085.096964756029</c:v>
                </c:pt>
                <c:pt idx="3">
                  <c:v>15605.08635913107</c:v>
                </c:pt>
                <c:pt idx="4">
                  <c:v>16143.391281596509</c:v>
                </c:pt>
                <c:pt idx="5">
                  <c:v>16670.675593610256</c:v>
                </c:pt>
              </c:numCache>
            </c:numRef>
          </c:val>
          <c:extLst>
            <c:ext xmlns:c16="http://schemas.microsoft.com/office/drawing/2014/chart" uri="{C3380CC4-5D6E-409C-BE32-E72D297353CC}">
              <c16:uniqueId val="{00000017-0CF1-49A7-805C-E47582A7DC2E}"/>
            </c:ext>
          </c:extLst>
        </c:ser>
        <c:dLbls>
          <c:showLegendKey val="0"/>
          <c:showVal val="0"/>
          <c:showCatName val="0"/>
          <c:showSerName val="0"/>
          <c:showPercent val="0"/>
          <c:showBubbleSize val="0"/>
        </c:dLbls>
        <c:gapWidth val="150"/>
        <c:axId val="444776072"/>
        <c:axId val="444777248"/>
      </c:barChart>
      <c:lineChart>
        <c:grouping val="standard"/>
        <c:varyColors val="0"/>
        <c:ser>
          <c:idx val="1"/>
          <c:order val="1"/>
          <c:tx>
            <c:v>Evolution des dépenses totales</c:v>
          </c:tx>
          <c:spPr>
            <a:ln w="19050">
              <a:prstDash val="sysDot"/>
            </a:ln>
          </c:spPr>
          <c:dPt>
            <c:idx val="1"/>
            <c:bubble3D val="0"/>
            <c:spPr>
              <a:ln w="19050">
                <a:prstDash val="solid"/>
              </a:ln>
            </c:spPr>
            <c:extLst>
              <c:ext xmlns:c16="http://schemas.microsoft.com/office/drawing/2014/chart" uri="{C3380CC4-5D6E-409C-BE32-E72D297353CC}">
                <c16:uniqueId val="{00000019-0CF1-49A7-805C-E47582A7DC2E}"/>
              </c:ext>
            </c:extLst>
          </c:dPt>
          <c:dPt>
            <c:idx val="2"/>
            <c:bubble3D val="0"/>
            <c:extLst>
              <c:ext xmlns:c16="http://schemas.microsoft.com/office/drawing/2014/chart" uri="{C3380CC4-5D6E-409C-BE32-E72D297353CC}">
                <c16:uniqueId val="{0000001A-0CF1-49A7-805C-E47582A7DC2E}"/>
              </c:ext>
            </c:extLst>
          </c:dPt>
          <c:dPt>
            <c:idx val="3"/>
            <c:bubble3D val="0"/>
            <c:extLst>
              <c:ext xmlns:c16="http://schemas.microsoft.com/office/drawing/2014/chart" uri="{C3380CC4-5D6E-409C-BE32-E72D297353CC}">
                <c16:uniqueId val="{0000001B-0CF1-49A7-805C-E47582A7DC2E}"/>
              </c:ext>
            </c:extLst>
          </c:dPt>
          <c:dPt>
            <c:idx val="4"/>
            <c:bubble3D val="0"/>
            <c:extLst>
              <c:ext xmlns:c16="http://schemas.microsoft.com/office/drawing/2014/chart" uri="{C3380CC4-5D6E-409C-BE32-E72D297353CC}">
                <c16:uniqueId val="{0000001C-0CF1-49A7-805C-E47582A7DC2E}"/>
              </c:ext>
            </c:extLst>
          </c:dPt>
          <c:dPt>
            <c:idx val="5"/>
            <c:bubble3D val="0"/>
            <c:extLst>
              <c:ext xmlns:c16="http://schemas.microsoft.com/office/drawing/2014/chart" uri="{C3380CC4-5D6E-409C-BE32-E72D297353CC}">
                <c16:uniqueId val="{0000001D-0CF1-49A7-805C-E47582A7DC2E}"/>
              </c:ext>
            </c:extLst>
          </c:dPt>
          <c:dPt>
            <c:idx val="6"/>
            <c:bubble3D val="0"/>
            <c:extLst>
              <c:ext xmlns:c16="http://schemas.microsoft.com/office/drawing/2014/chart" uri="{C3380CC4-5D6E-409C-BE32-E72D297353CC}">
                <c16:uniqueId val="{0000001E-0CF1-49A7-805C-E47582A7DC2E}"/>
              </c:ext>
            </c:extLst>
          </c:dPt>
          <c:dPt>
            <c:idx val="7"/>
            <c:bubble3D val="0"/>
            <c:extLst>
              <c:ext xmlns:c16="http://schemas.microsoft.com/office/drawing/2014/chart" uri="{C3380CC4-5D6E-409C-BE32-E72D297353CC}">
                <c16:uniqueId val="{0000001F-0CF1-49A7-805C-E47582A7DC2E}"/>
              </c:ext>
            </c:extLst>
          </c:dPt>
          <c:dPt>
            <c:idx val="8"/>
            <c:bubble3D val="0"/>
            <c:extLst>
              <c:ext xmlns:c16="http://schemas.microsoft.com/office/drawing/2014/chart" uri="{C3380CC4-5D6E-409C-BE32-E72D297353CC}">
                <c16:uniqueId val="{00000020-0CF1-49A7-805C-E47582A7DC2E}"/>
              </c:ext>
            </c:extLst>
          </c:dPt>
          <c:dLbls>
            <c:dLbl>
              <c:idx val="0"/>
              <c:layout>
                <c:manualLayout>
                  <c:x val="-6.913969455937849E-2"/>
                  <c:y val="6.65957803296858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CF1-49A7-805C-E47582A7DC2E}"/>
                </c:ext>
              </c:extLst>
            </c:dLbl>
            <c:dLbl>
              <c:idx val="1"/>
              <c:layout>
                <c:manualLayout>
                  <c:x val="-4.5265717432989273E-2"/>
                  <c:y val="9.57573812025939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CF1-49A7-805C-E47582A7DC2E}"/>
                </c:ext>
              </c:extLst>
            </c:dLbl>
            <c:dLbl>
              <c:idx val="2"/>
              <c:layout>
                <c:manualLayout>
                  <c:x val="-1.8181413673982866E-2"/>
                  <c:y val="3.6214490282731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CF1-49A7-805C-E47582A7DC2E}"/>
                </c:ext>
              </c:extLst>
            </c:dLbl>
            <c:dLbl>
              <c:idx val="3"/>
              <c:layout>
                <c:manualLayout>
                  <c:x val="-5.356860185222969E-2"/>
                  <c:y val="9.4171956626547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CF1-49A7-805C-E47582A7DC2E}"/>
                </c:ext>
              </c:extLst>
            </c:dLbl>
            <c:dLbl>
              <c:idx val="4"/>
              <c:layout>
                <c:manualLayout>
                  <c:x val="-4.5040733939016496E-2"/>
                  <c:y val="6.3545176511055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CF1-49A7-805C-E47582A7DC2E}"/>
                </c:ext>
              </c:extLst>
            </c:dLbl>
            <c:dLbl>
              <c:idx val="5"/>
              <c:layout>
                <c:manualLayout>
                  <c:x val="-5.1540365836886259E-2"/>
                  <c:y val="5.65535290994608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CF1-49A7-805C-E47582A7DC2E}"/>
                </c:ext>
              </c:extLst>
            </c:dLbl>
            <c:dLbl>
              <c:idx val="6"/>
              <c:layout>
                <c:manualLayout>
                  <c:x val="-1.3917884481558803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CF1-49A7-805C-E47582A7DC2E}"/>
                </c:ext>
              </c:extLst>
            </c:dLbl>
            <c:dLbl>
              <c:idx val="7"/>
              <c:layout>
                <c:manualLayout>
                  <c:x val="-1.9485038274182426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CF1-49A7-805C-E47582A7DC2E}"/>
                </c:ext>
              </c:extLst>
            </c:dLbl>
            <c:dLbl>
              <c:idx val="8"/>
              <c:layout>
                <c:manualLayout>
                  <c:x val="-1.6701461377870562E-2"/>
                  <c:y val="5.31561461794019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CF1-49A7-805C-E47582A7DC2E}"/>
                </c:ext>
              </c:extLst>
            </c:dLbl>
            <c:numFmt formatCode="0.0%" sourceLinked="0"/>
            <c:spPr>
              <a:solidFill>
                <a:schemeClr val="accent2">
                  <a:lumMod val="20000"/>
                  <a:lumOff val="80000"/>
                </a:schemeClr>
              </a:solidFill>
              <a:ln>
                <a:solidFill>
                  <a:srgbClr val="C00000"/>
                </a:solidFill>
              </a:ln>
            </c:spPr>
            <c:txPr>
              <a:bodyPr/>
              <a:lstStyle/>
              <a:p>
                <a:pPr>
                  <a:defRPr sz="900" i="1">
                    <a:solidFill>
                      <a:schemeClr val="accent2"/>
                    </a:solidFill>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'RESULTAT NET'!$B$16:$G$16</c:f>
              <c:numCache>
                <c:formatCode>\+0.0%;\-0.0%;General</c:formatCode>
                <c:ptCount val="6"/>
                <c:pt idx="0">
                  <c:v>2.2774721527067943E-2</c:v>
                </c:pt>
                <c:pt idx="1">
                  <c:v>4.0141615604309733E-2</c:v>
                </c:pt>
                <c:pt idx="2">
                  <c:v>3.3399115506908883E-2</c:v>
                </c:pt>
                <c:pt idx="3">
                  <c:v>3.3504063315376476E-2</c:v>
                </c:pt>
                <c:pt idx="4">
                  <c:v>3.3922299012868473E-2</c:v>
                </c:pt>
                <c:pt idx="5">
                  <c:v>3.2182342230709926E-2</c:v>
                </c:pt>
              </c:numCache>
            </c:numRef>
          </c:val>
          <c:smooth val="0"/>
          <c:extLst>
            <c:ext xmlns:c16="http://schemas.microsoft.com/office/drawing/2014/chart" uri="{C3380CC4-5D6E-409C-BE32-E72D297353CC}">
              <c16:uniqueId val="{00000022-0CF1-49A7-805C-E47582A7DC2E}"/>
            </c:ext>
          </c:extLst>
        </c:ser>
        <c:dLbls>
          <c:dLblPos val="ctr"/>
          <c:showLegendKey val="0"/>
          <c:showVal val="1"/>
          <c:showCatName val="0"/>
          <c:showSerName val="0"/>
          <c:showPercent val="0"/>
          <c:showBubbleSize val="0"/>
        </c:dLbls>
        <c:marker val="1"/>
        <c:smooth val="0"/>
        <c:axId val="444779600"/>
        <c:axId val="444778816"/>
      </c:lineChart>
      <c:catAx>
        <c:axId val="444776072"/>
        <c:scaling>
          <c:orientation val="minMax"/>
        </c:scaling>
        <c:delete val="0"/>
        <c:axPos val="b"/>
        <c:numFmt formatCode="General" sourceLinked="1"/>
        <c:majorTickMark val="out"/>
        <c:minorTickMark val="none"/>
        <c:tickLblPos val="nextTo"/>
        <c:txPr>
          <a:bodyPr/>
          <a:lstStyle/>
          <a:p>
            <a:pPr>
              <a:defRPr sz="800" b="1">
                <a:solidFill>
                  <a:schemeClr val="accent1">
                    <a:lumMod val="75000"/>
                  </a:schemeClr>
                </a:solidFill>
              </a:defRPr>
            </a:pPr>
            <a:endParaRPr lang="fr-FR"/>
          </a:p>
        </c:txPr>
        <c:crossAx val="444777248"/>
        <c:crosses val="autoZero"/>
        <c:auto val="1"/>
        <c:lblAlgn val="ctr"/>
        <c:lblOffset val="100"/>
        <c:noMultiLvlLbl val="0"/>
      </c:catAx>
      <c:valAx>
        <c:axId val="444777248"/>
        <c:scaling>
          <c:orientation val="minMax"/>
          <c:max val="19000"/>
          <c:min val="0"/>
        </c:scaling>
        <c:delete val="0"/>
        <c:axPos val="l"/>
        <c:numFmt formatCode="#\ ##0.0" sourceLinked="1"/>
        <c:majorTickMark val="out"/>
        <c:minorTickMark val="none"/>
        <c:tickLblPos val="nextTo"/>
        <c:txPr>
          <a:bodyPr/>
          <a:lstStyle/>
          <a:p>
            <a:pPr>
              <a:defRPr sz="800">
                <a:solidFill>
                  <a:schemeClr val="accent1">
                    <a:lumMod val="75000"/>
                  </a:schemeClr>
                </a:solidFill>
              </a:defRPr>
            </a:pPr>
            <a:endParaRPr lang="fr-FR"/>
          </a:p>
        </c:txPr>
        <c:crossAx val="444776072"/>
        <c:crosses val="autoZero"/>
        <c:crossBetween val="between"/>
        <c:majorUnit val="2000"/>
        <c:dispUnits>
          <c:builtInUnit val="thousands"/>
          <c:dispUnitsLbl>
            <c:layout>
              <c:manualLayout>
                <c:xMode val="edge"/>
                <c:yMode val="edge"/>
                <c:x val="1.7892211660070989E-2"/>
                <c:y val="0.318534221683828"/>
              </c:manualLayout>
            </c:layout>
            <c:tx>
              <c:rich>
                <a:bodyPr/>
                <a:lstStyle/>
                <a:p>
                  <a:pPr>
                    <a:defRPr sz="800" b="1">
                      <a:solidFill>
                        <a:schemeClr val="accent1">
                          <a:lumMod val="75000"/>
                        </a:schemeClr>
                      </a:solidFill>
                    </a:defRPr>
                  </a:pPr>
                  <a:r>
                    <a:rPr lang="fr-FR"/>
                    <a:t>Milliards  d'euros</a:t>
                  </a:r>
                </a:p>
              </c:rich>
            </c:tx>
          </c:dispUnitsLbl>
        </c:dispUnits>
      </c:valAx>
      <c:valAx>
        <c:axId val="444778816"/>
        <c:scaling>
          <c:orientation val="minMax"/>
          <c:max val="6.0000000000000012E-2"/>
          <c:min val="0"/>
        </c:scaling>
        <c:delete val="0"/>
        <c:axPos val="r"/>
        <c:title>
          <c:tx>
            <c:rich>
              <a:bodyPr rot="-5400000" vert="horz"/>
              <a:lstStyle/>
              <a:p>
                <a:pPr>
                  <a:defRPr sz="800" b="0">
                    <a:solidFill>
                      <a:srgbClr val="C00000"/>
                    </a:solidFill>
                  </a:defRPr>
                </a:pPr>
                <a:r>
                  <a:rPr lang="fr-FR" sz="800" b="0">
                    <a:solidFill>
                      <a:srgbClr val="C00000"/>
                    </a:solidFill>
                  </a:rPr>
                  <a:t>Evolution en %</a:t>
                </a:r>
              </a:p>
            </c:rich>
          </c:tx>
          <c:overlay val="0"/>
        </c:title>
        <c:numFmt formatCode="\+0.0%;\-0.0%;General" sourceLinked="0"/>
        <c:majorTickMark val="out"/>
        <c:minorTickMark val="none"/>
        <c:tickLblPos val="nextTo"/>
        <c:txPr>
          <a:bodyPr/>
          <a:lstStyle/>
          <a:p>
            <a:pPr>
              <a:defRPr sz="800">
                <a:solidFill>
                  <a:schemeClr val="accent2"/>
                </a:solidFill>
              </a:defRPr>
            </a:pPr>
            <a:endParaRPr lang="fr-FR"/>
          </a:p>
        </c:txPr>
        <c:crossAx val="444779600"/>
        <c:crosses val="max"/>
        <c:crossBetween val="between"/>
        <c:majorUnit val="1.0000000000000002E-2"/>
      </c:valAx>
      <c:catAx>
        <c:axId val="444779600"/>
        <c:scaling>
          <c:orientation val="minMax"/>
        </c:scaling>
        <c:delete val="1"/>
        <c:axPos val="b"/>
        <c:numFmt formatCode="General" sourceLinked="1"/>
        <c:majorTickMark val="out"/>
        <c:minorTickMark val="none"/>
        <c:tickLblPos val="nextTo"/>
        <c:crossAx val="444778816"/>
        <c:crosses val="autoZero"/>
        <c:auto val="1"/>
        <c:lblAlgn val="ctr"/>
        <c:lblOffset val="100"/>
        <c:noMultiLvlLbl val="0"/>
      </c:catAx>
    </c:plotArea>
    <c:legend>
      <c:legendPos val="b"/>
      <c:legendEntry>
        <c:idx val="2"/>
        <c:txPr>
          <a:bodyPr/>
          <a:lstStyle/>
          <a:p>
            <a:pPr>
              <a:defRPr sz="900">
                <a:solidFill>
                  <a:srgbClr val="C00000"/>
                </a:solidFill>
              </a:defRPr>
            </a:pPr>
            <a:endParaRPr lang="fr-FR"/>
          </a:p>
        </c:txPr>
      </c:legendEntry>
      <c:layout>
        <c:manualLayout>
          <c:xMode val="edge"/>
          <c:yMode val="edge"/>
          <c:x val="3.6671097229102306E-2"/>
          <c:y val="0.89595551846795429"/>
          <c:w val="0.92519171793640409"/>
          <c:h val="0.10256884058327133"/>
        </c:manualLayout>
      </c:layout>
      <c:overlay val="0"/>
      <c:txPr>
        <a:bodyPr/>
        <a:lstStyle/>
        <a:p>
          <a:pPr>
            <a:defRPr sz="900">
              <a:solidFill>
                <a:schemeClr val="accent1">
                  <a:lumMod val="75000"/>
                </a:schemeClr>
              </a:solidFill>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56257835452922E-2"/>
          <c:y val="3.5202572282447095E-2"/>
          <c:w val="0.77557046682391384"/>
          <c:h val="0.77768907838305035"/>
        </c:manualLayout>
      </c:layout>
      <c:barChart>
        <c:barDir val="col"/>
        <c:grouping val="clustered"/>
        <c:varyColors val="0"/>
        <c:ser>
          <c:idx val="0"/>
          <c:order val="0"/>
          <c:tx>
            <c:v>Dépenses totales (hors versements Régime général)</c:v>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rect">
                <a:fillToRect l="100000" t="100000"/>
              </a:path>
              <a:tileRect r="-100000" b="-100000"/>
            </a:gradFill>
          </c:spPr>
          <c:invertIfNegative val="0"/>
          <c:dPt>
            <c:idx val="0"/>
            <c:invertIfNegative val="0"/>
            <c:bubble3D val="0"/>
            <c:extLst>
              <c:ext xmlns:c16="http://schemas.microsoft.com/office/drawing/2014/chart" uri="{C3380CC4-5D6E-409C-BE32-E72D297353CC}">
                <c16:uniqueId val="{00000000-DC0C-438E-9F1E-243856D8EC76}"/>
              </c:ext>
            </c:extLst>
          </c:dPt>
          <c:dPt>
            <c:idx val="1"/>
            <c:invertIfNegative val="0"/>
            <c:bubble3D val="0"/>
            <c:extLst>
              <c:ext xmlns:c16="http://schemas.microsoft.com/office/drawing/2014/chart" uri="{C3380CC4-5D6E-409C-BE32-E72D297353CC}">
                <c16:uniqueId val="{00000002-DC0C-438E-9F1E-243856D8EC76}"/>
              </c:ext>
            </c:extLst>
          </c:dPt>
          <c:dPt>
            <c:idx val="2"/>
            <c:invertIfNegative val="0"/>
            <c:bubble3D val="0"/>
            <c:extLst>
              <c:ext xmlns:c16="http://schemas.microsoft.com/office/drawing/2014/chart" uri="{C3380CC4-5D6E-409C-BE32-E72D297353CC}">
                <c16:uniqueId val="{00000004-DC0C-438E-9F1E-243856D8EC76}"/>
              </c:ext>
            </c:extLst>
          </c:dPt>
          <c:dPt>
            <c:idx val="3"/>
            <c:invertIfNegative val="0"/>
            <c:bubble3D val="0"/>
            <c:extLst>
              <c:ext xmlns:c16="http://schemas.microsoft.com/office/drawing/2014/chart" uri="{C3380CC4-5D6E-409C-BE32-E72D297353CC}">
                <c16:uniqueId val="{00000006-DC0C-438E-9F1E-243856D8EC76}"/>
              </c:ext>
            </c:extLst>
          </c:dPt>
          <c:dPt>
            <c:idx val="4"/>
            <c:invertIfNegative val="0"/>
            <c:bubble3D val="0"/>
            <c:extLst>
              <c:ext xmlns:c16="http://schemas.microsoft.com/office/drawing/2014/chart" uri="{C3380CC4-5D6E-409C-BE32-E72D297353CC}">
                <c16:uniqueId val="{00000008-DC0C-438E-9F1E-243856D8EC76}"/>
              </c:ext>
            </c:extLst>
          </c:dPt>
          <c:dPt>
            <c:idx val="5"/>
            <c:invertIfNegative val="0"/>
            <c:bubble3D val="0"/>
            <c:extLst>
              <c:ext xmlns:c16="http://schemas.microsoft.com/office/drawing/2014/chart" uri="{C3380CC4-5D6E-409C-BE32-E72D297353CC}">
                <c16:uniqueId val="{0000000A-DC0C-438E-9F1E-243856D8EC76}"/>
              </c:ext>
            </c:extLst>
          </c:dPt>
          <c:dLbls>
            <c:dLbl>
              <c:idx val="0"/>
              <c:layout>
                <c:manualLayout>
                  <c:x val="0"/>
                  <c:y val="-1.85701021355617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0C-438E-9F1E-243856D8EC76}"/>
                </c:ext>
              </c:extLst>
            </c:dLbl>
            <c:dLbl>
              <c:idx val="1"/>
              <c:layout>
                <c:manualLayout>
                  <c:x val="-8.3725784212284136E-3"/>
                  <c:y val="-1.06460787109132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0C-438E-9F1E-243856D8EC76}"/>
                </c:ext>
              </c:extLst>
            </c:dLbl>
            <c:dLbl>
              <c:idx val="2"/>
              <c:layout>
                <c:manualLayout>
                  <c:x val="-7.6747748931381988E-17"/>
                  <c:y val="-7.42804085422471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0C-438E-9F1E-243856D8EC76}"/>
                </c:ext>
              </c:extLst>
            </c:dLbl>
            <c:dLbl>
              <c:idx val="3"/>
              <c:layout>
                <c:manualLayout>
                  <c:x val="-7.6747748931381988E-17"/>
                  <c:y val="-1.42887431550164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0C-438E-9F1E-243856D8EC76}"/>
                </c:ext>
              </c:extLst>
            </c:dLbl>
            <c:dLbl>
              <c:idx val="4"/>
              <c:layout>
                <c:manualLayout>
                  <c:x val="2.8646414476254782E-3"/>
                  <c:y val="-1.8917523888901083E-2"/>
                </c:manualLayout>
              </c:layout>
              <c:spPr>
                <a:solidFill>
                  <a:schemeClr val="accent5">
                    <a:lumMod val="75000"/>
                  </a:schemeClr>
                </a:solidFill>
                <a:ln>
                  <a:noFill/>
                </a:ln>
              </c:spPr>
              <c:txPr>
                <a:bodyPr/>
                <a:lstStyle/>
                <a:p>
                  <a:pPr>
                    <a:defRPr sz="800" b="1">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C0C-438E-9F1E-243856D8EC76}"/>
                </c:ext>
              </c:extLst>
            </c:dLbl>
            <c:dLbl>
              <c:idx val="5"/>
              <c:layout>
                <c:manualLayout>
                  <c:x val="-6.9698419066009211E-3"/>
                  <c:y val="-4.14274121027351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C0C-438E-9F1E-243856D8EC76}"/>
                </c:ext>
              </c:extLst>
            </c:dLbl>
            <c:spPr>
              <a:solidFill>
                <a:schemeClr val="accent5">
                  <a:lumMod val="75000"/>
                </a:schemeClr>
              </a:solidFill>
            </c:spPr>
            <c:txPr>
              <a:bodyPr/>
              <a:lstStyle/>
              <a:p>
                <a:pPr>
                  <a:defRPr sz="8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RETRAITE!$B$27:$G$27</c:f>
              <c:strCache>
                <c:ptCount val="6"/>
                <c:pt idx="0">
                  <c:v>2023</c:v>
                </c:pt>
                <c:pt idx="1">
                  <c:v>2024(p)</c:v>
                </c:pt>
                <c:pt idx="2">
                  <c:v>2025(p)</c:v>
                </c:pt>
                <c:pt idx="3">
                  <c:v>2026(p)</c:v>
                </c:pt>
                <c:pt idx="4">
                  <c:v>2027(p)</c:v>
                </c:pt>
                <c:pt idx="5">
                  <c:v>2028(p)</c:v>
                </c:pt>
              </c:strCache>
            </c:strRef>
          </c:cat>
          <c:val>
            <c:numRef>
              <c:f>RETRAITE!$C$2:$H$2</c:f>
              <c:numCache>
                <c:formatCode>#\ ##0.0</c:formatCode>
                <c:ptCount val="6"/>
                <c:pt idx="0">
                  <c:v>7234.5708767199994</c:v>
                </c:pt>
                <c:pt idx="1">
                  <c:v>7615.2751465405745</c:v>
                </c:pt>
                <c:pt idx="2">
                  <c:v>7889.1581563343134</c:v>
                </c:pt>
                <c:pt idx="3">
                  <c:v>8138.6708055944364</c:v>
                </c:pt>
                <c:pt idx="4">
                  <c:v>8418.9245427860769</c:v>
                </c:pt>
                <c:pt idx="5">
                  <c:v>8675.6387048341967</c:v>
                </c:pt>
              </c:numCache>
            </c:numRef>
          </c:val>
          <c:extLst>
            <c:ext xmlns:c16="http://schemas.microsoft.com/office/drawing/2014/chart" uri="{C3380CC4-5D6E-409C-BE32-E72D297353CC}">
              <c16:uniqueId val="{0000000B-DC0C-438E-9F1E-243856D8EC76}"/>
            </c:ext>
          </c:extLst>
        </c:ser>
        <c:ser>
          <c:idx val="2"/>
          <c:order val="2"/>
          <c:tx>
            <c:v>Prestations</c:v>
          </c:tx>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rect">
                <a:fillToRect l="100000" t="100000"/>
              </a:path>
              <a:tileRect r="-100000" b="-100000"/>
            </a:gradFill>
          </c:spPr>
          <c:invertIfNegative val="0"/>
          <c:dPt>
            <c:idx val="1"/>
            <c:invertIfNegative val="0"/>
            <c:bubble3D val="0"/>
            <c:extLst>
              <c:ext xmlns:c16="http://schemas.microsoft.com/office/drawing/2014/chart" uri="{C3380CC4-5D6E-409C-BE32-E72D297353CC}">
                <c16:uniqueId val="{0000000D-DC0C-438E-9F1E-243856D8EC76}"/>
              </c:ext>
            </c:extLst>
          </c:dPt>
          <c:dPt>
            <c:idx val="2"/>
            <c:invertIfNegative val="0"/>
            <c:bubble3D val="0"/>
            <c:extLst>
              <c:ext xmlns:c16="http://schemas.microsoft.com/office/drawing/2014/chart" uri="{C3380CC4-5D6E-409C-BE32-E72D297353CC}">
                <c16:uniqueId val="{0000000F-DC0C-438E-9F1E-243856D8EC76}"/>
              </c:ext>
            </c:extLst>
          </c:dPt>
          <c:dPt>
            <c:idx val="3"/>
            <c:invertIfNegative val="0"/>
            <c:bubble3D val="0"/>
            <c:extLst>
              <c:ext xmlns:c16="http://schemas.microsoft.com/office/drawing/2014/chart" uri="{C3380CC4-5D6E-409C-BE32-E72D297353CC}">
                <c16:uniqueId val="{00000011-DC0C-438E-9F1E-243856D8EC76}"/>
              </c:ext>
            </c:extLst>
          </c:dPt>
          <c:dPt>
            <c:idx val="4"/>
            <c:invertIfNegative val="0"/>
            <c:bubble3D val="0"/>
            <c:extLst>
              <c:ext xmlns:c16="http://schemas.microsoft.com/office/drawing/2014/chart" uri="{C3380CC4-5D6E-409C-BE32-E72D297353CC}">
                <c16:uniqueId val="{00000013-DC0C-438E-9F1E-243856D8EC76}"/>
              </c:ext>
            </c:extLst>
          </c:dPt>
          <c:dPt>
            <c:idx val="5"/>
            <c:invertIfNegative val="0"/>
            <c:bubble3D val="0"/>
            <c:extLst>
              <c:ext xmlns:c16="http://schemas.microsoft.com/office/drawing/2014/chart" uri="{C3380CC4-5D6E-409C-BE32-E72D297353CC}">
                <c16:uniqueId val="{00000015-DC0C-438E-9F1E-243856D8EC76}"/>
              </c:ext>
            </c:extLst>
          </c:dPt>
          <c:dLbls>
            <c:dLbl>
              <c:idx val="0"/>
              <c:layout>
                <c:manualLayout>
                  <c:x val="2.570282686595601E-2"/>
                  <c:y val="7.42804085422469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C0C-438E-9F1E-243856D8EC76}"/>
                </c:ext>
              </c:extLst>
            </c:dLbl>
            <c:dLbl>
              <c:idx val="1"/>
              <c:layout>
                <c:manualLayout>
                  <c:x val="2.0951718240980608E-2"/>
                  <c:y val="-2.2254878307342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C0C-438E-9F1E-243856D8EC76}"/>
                </c:ext>
              </c:extLst>
            </c:dLbl>
            <c:dLbl>
              <c:idx val="2"/>
              <c:layout>
                <c:manualLayout>
                  <c:x val="2.891566265060241E-2"/>
                  <c:y val="5.16795865633074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C0C-438E-9F1E-243856D8EC76}"/>
                </c:ext>
              </c:extLst>
            </c:dLbl>
            <c:dLbl>
              <c:idx val="3"/>
              <c:layout>
                <c:manualLayout>
                  <c:x val="2.2489959839357431E-2"/>
                  <c:y val="2.9607754437255797E-1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C0C-438E-9F1E-243856D8EC76}"/>
                </c:ext>
              </c:extLst>
            </c:dLbl>
            <c:dLbl>
              <c:idx val="4"/>
              <c:layout>
                <c:manualLayout>
                  <c:x val="2.3609682260648916E-2"/>
                  <c:y val="7.42804085422469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C0C-438E-9F1E-243856D8EC76}"/>
                </c:ext>
              </c:extLst>
            </c:dLbl>
            <c:dLbl>
              <c:idx val="5"/>
              <c:layout>
                <c:manualLayout>
                  <c:x val="2.8915721427834471E-2"/>
                  <c:y val="3.714020427112349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C0C-438E-9F1E-243856D8EC76}"/>
                </c:ext>
              </c:extLst>
            </c:dLbl>
            <c:spPr>
              <a:solidFill>
                <a:schemeClr val="accent1"/>
              </a:solidFill>
            </c:spPr>
            <c:txPr>
              <a:bodyPr/>
              <a:lstStyle/>
              <a:p>
                <a:pPr>
                  <a:defRPr sz="800" b="1">
                    <a:solidFill>
                      <a:schemeClr val="bg1"/>
                    </a:solidFil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RETRAITE!$B$27:$G$27</c:f>
              <c:strCache>
                <c:ptCount val="6"/>
                <c:pt idx="0">
                  <c:v>2023</c:v>
                </c:pt>
                <c:pt idx="1">
                  <c:v>2024(p)</c:v>
                </c:pt>
                <c:pt idx="2">
                  <c:v>2025(p)</c:v>
                </c:pt>
                <c:pt idx="3">
                  <c:v>2026(p)</c:v>
                </c:pt>
                <c:pt idx="4">
                  <c:v>2027(p)</c:v>
                </c:pt>
                <c:pt idx="5">
                  <c:v>2028(p)</c:v>
                </c:pt>
              </c:strCache>
            </c:strRef>
          </c:cat>
          <c:val>
            <c:numRef>
              <c:f>RETRAITE!$C$3:$H$3</c:f>
              <c:numCache>
                <c:formatCode>#\ ##0.0</c:formatCode>
                <c:ptCount val="6"/>
                <c:pt idx="0">
                  <c:v>6815.5706679599989</c:v>
                </c:pt>
                <c:pt idx="1">
                  <c:v>7284.2646268801645</c:v>
                </c:pt>
                <c:pt idx="2">
                  <c:v>7551.4400078241024</c:v>
                </c:pt>
                <c:pt idx="3">
                  <c:v>7794.5590624373581</c:v>
                </c:pt>
                <c:pt idx="4">
                  <c:v>8068.0502787270725</c:v>
                </c:pt>
                <c:pt idx="5">
                  <c:v>8318.1767148734343</c:v>
                </c:pt>
              </c:numCache>
            </c:numRef>
          </c:val>
          <c:extLst>
            <c:ext xmlns:c16="http://schemas.microsoft.com/office/drawing/2014/chart" uri="{C3380CC4-5D6E-409C-BE32-E72D297353CC}">
              <c16:uniqueId val="{00000017-DC0C-438E-9F1E-243856D8EC76}"/>
            </c:ext>
          </c:extLst>
        </c:ser>
        <c:dLbls>
          <c:showLegendKey val="0"/>
          <c:showVal val="0"/>
          <c:showCatName val="0"/>
          <c:showSerName val="0"/>
          <c:showPercent val="0"/>
          <c:showBubbleSize val="0"/>
        </c:dLbls>
        <c:gapWidth val="150"/>
        <c:axId val="444781560"/>
        <c:axId val="444781952"/>
      </c:barChart>
      <c:lineChart>
        <c:grouping val="standard"/>
        <c:varyColors val="0"/>
        <c:ser>
          <c:idx val="1"/>
          <c:order val="1"/>
          <c:tx>
            <c:v>Evolution des dépenses totales</c:v>
          </c:tx>
          <c:spPr>
            <a:ln w="19050">
              <a:prstDash val="sysDot"/>
            </a:ln>
          </c:spPr>
          <c:dPt>
            <c:idx val="1"/>
            <c:bubble3D val="0"/>
            <c:spPr>
              <a:ln w="19050">
                <a:prstDash val="solid"/>
              </a:ln>
            </c:spPr>
            <c:extLst>
              <c:ext xmlns:c16="http://schemas.microsoft.com/office/drawing/2014/chart" uri="{C3380CC4-5D6E-409C-BE32-E72D297353CC}">
                <c16:uniqueId val="{00000019-DC0C-438E-9F1E-243856D8EC76}"/>
              </c:ext>
            </c:extLst>
          </c:dPt>
          <c:dPt>
            <c:idx val="2"/>
            <c:bubble3D val="0"/>
            <c:extLst>
              <c:ext xmlns:c16="http://schemas.microsoft.com/office/drawing/2014/chart" uri="{C3380CC4-5D6E-409C-BE32-E72D297353CC}">
                <c16:uniqueId val="{0000001A-DC0C-438E-9F1E-243856D8EC76}"/>
              </c:ext>
            </c:extLst>
          </c:dPt>
          <c:dPt>
            <c:idx val="3"/>
            <c:bubble3D val="0"/>
            <c:extLst>
              <c:ext xmlns:c16="http://schemas.microsoft.com/office/drawing/2014/chart" uri="{C3380CC4-5D6E-409C-BE32-E72D297353CC}">
                <c16:uniqueId val="{0000001B-DC0C-438E-9F1E-243856D8EC76}"/>
              </c:ext>
            </c:extLst>
          </c:dPt>
          <c:dPt>
            <c:idx val="4"/>
            <c:bubble3D val="0"/>
            <c:extLst>
              <c:ext xmlns:c16="http://schemas.microsoft.com/office/drawing/2014/chart" uri="{C3380CC4-5D6E-409C-BE32-E72D297353CC}">
                <c16:uniqueId val="{0000001C-DC0C-438E-9F1E-243856D8EC76}"/>
              </c:ext>
            </c:extLst>
          </c:dPt>
          <c:dPt>
            <c:idx val="5"/>
            <c:bubble3D val="0"/>
            <c:extLst>
              <c:ext xmlns:c16="http://schemas.microsoft.com/office/drawing/2014/chart" uri="{C3380CC4-5D6E-409C-BE32-E72D297353CC}">
                <c16:uniqueId val="{0000001D-DC0C-438E-9F1E-243856D8EC76}"/>
              </c:ext>
            </c:extLst>
          </c:dPt>
          <c:dPt>
            <c:idx val="6"/>
            <c:bubble3D val="0"/>
            <c:extLst>
              <c:ext xmlns:c16="http://schemas.microsoft.com/office/drawing/2014/chart" uri="{C3380CC4-5D6E-409C-BE32-E72D297353CC}">
                <c16:uniqueId val="{0000001E-DC0C-438E-9F1E-243856D8EC76}"/>
              </c:ext>
            </c:extLst>
          </c:dPt>
          <c:dPt>
            <c:idx val="7"/>
            <c:bubble3D val="0"/>
            <c:extLst>
              <c:ext xmlns:c16="http://schemas.microsoft.com/office/drawing/2014/chart" uri="{C3380CC4-5D6E-409C-BE32-E72D297353CC}">
                <c16:uniqueId val="{0000001F-DC0C-438E-9F1E-243856D8EC76}"/>
              </c:ext>
            </c:extLst>
          </c:dPt>
          <c:dPt>
            <c:idx val="8"/>
            <c:bubble3D val="0"/>
            <c:extLst>
              <c:ext xmlns:c16="http://schemas.microsoft.com/office/drawing/2014/chart" uri="{C3380CC4-5D6E-409C-BE32-E72D297353CC}">
                <c16:uniqueId val="{00000020-DC0C-438E-9F1E-243856D8EC76}"/>
              </c:ext>
            </c:extLst>
          </c:dPt>
          <c:dLbls>
            <c:dLbl>
              <c:idx val="0"/>
              <c:layout>
                <c:manualLayout>
                  <c:x val="-7.5991427188223964E-2"/>
                  <c:y val="4.5783780838756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C0C-438E-9F1E-243856D8EC76}"/>
                </c:ext>
              </c:extLst>
            </c:dLbl>
            <c:dLbl>
              <c:idx val="1"/>
              <c:layout>
                <c:manualLayout>
                  <c:x val="-5.8316327220142442E-3"/>
                  <c:y val="3.9239356918825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C0C-438E-9F1E-243856D8EC76}"/>
                </c:ext>
              </c:extLst>
            </c:dLbl>
            <c:dLbl>
              <c:idx val="2"/>
              <c:layout>
                <c:manualLayout>
                  <c:x val="-6.3344489079883298E-2"/>
                  <c:y val="-5.77503856586172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C0C-438E-9F1E-243856D8EC76}"/>
                </c:ext>
              </c:extLst>
            </c:dLbl>
            <c:dLbl>
              <c:idx val="3"/>
              <c:layout>
                <c:manualLayout>
                  <c:x val="-3.4781800387841566E-2"/>
                  <c:y val="8.2061135115770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C0C-438E-9F1E-243856D8EC76}"/>
                </c:ext>
              </c:extLst>
            </c:dLbl>
            <c:dLbl>
              <c:idx val="4"/>
              <c:layout>
                <c:manualLayout>
                  <c:x val="-7.2437126281613584E-2"/>
                  <c:y val="9.2010023046992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C0C-438E-9F1E-243856D8EC76}"/>
                </c:ext>
              </c:extLst>
            </c:dLbl>
            <c:dLbl>
              <c:idx val="5"/>
              <c:layout>
                <c:manualLayout>
                  <c:x val="-6.4581326508504983E-2"/>
                  <c:y val="6.088842799397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C0C-438E-9F1E-243856D8EC76}"/>
                </c:ext>
              </c:extLst>
            </c:dLbl>
            <c:dLbl>
              <c:idx val="6"/>
              <c:layout>
                <c:manualLayout>
                  <c:x val="-1.3917884481558803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C0C-438E-9F1E-243856D8EC76}"/>
                </c:ext>
              </c:extLst>
            </c:dLbl>
            <c:dLbl>
              <c:idx val="7"/>
              <c:layout>
                <c:manualLayout>
                  <c:x val="-1.9485038274182426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C0C-438E-9F1E-243856D8EC76}"/>
                </c:ext>
              </c:extLst>
            </c:dLbl>
            <c:dLbl>
              <c:idx val="8"/>
              <c:layout>
                <c:manualLayout>
                  <c:x val="-1.6701461377870562E-2"/>
                  <c:y val="5.31561461794019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C0C-438E-9F1E-243856D8EC76}"/>
                </c:ext>
              </c:extLst>
            </c:dLbl>
            <c:spPr>
              <a:solidFill>
                <a:schemeClr val="accent2">
                  <a:lumMod val="20000"/>
                  <a:lumOff val="80000"/>
                </a:schemeClr>
              </a:solidFill>
              <a:ln>
                <a:solidFill>
                  <a:srgbClr val="C00000"/>
                </a:solidFill>
              </a:ln>
            </c:spPr>
            <c:txPr>
              <a:bodyPr/>
              <a:lstStyle/>
              <a:p>
                <a:pPr>
                  <a:defRPr sz="900" i="1">
                    <a:solidFill>
                      <a:schemeClr val="accent2"/>
                    </a:solidFill>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6"/>
              <c:pt idx="0">
                <c:v>0</c:v>
              </c:pt>
              <c:pt idx="1">
                <c:v>0</c:v>
              </c:pt>
              <c:pt idx="2">
                <c:v>0</c:v>
              </c:pt>
              <c:pt idx="3">
                <c:v>0</c:v>
              </c:pt>
              <c:pt idx="4">
                <c:v>0</c:v>
              </c:pt>
              <c:pt idx="5">
                <c:v>0</c:v>
              </c:pt>
            </c:numLit>
          </c:cat>
          <c:val>
            <c:numRef>
              <c:f>RETRAITE!$B$15:$G$15</c:f>
              <c:numCache>
                <c:formatCode>\+0.0%;\-0.0%;General</c:formatCode>
                <c:ptCount val="6"/>
                <c:pt idx="0">
                  <c:v>4.9439626094390121E-2</c:v>
                </c:pt>
                <c:pt idx="1">
                  <c:v>5.2622923502710695E-2</c:v>
                </c:pt>
                <c:pt idx="2">
                  <c:v>3.5964952614766288E-2</c:v>
                </c:pt>
                <c:pt idx="3">
                  <c:v>3.1627284472651285E-2</c:v>
                </c:pt>
                <c:pt idx="4">
                  <c:v>3.4434828964822639E-2</c:v>
                </c:pt>
                <c:pt idx="5">
                  <c:v>3.0492512522646509E-2</c:v>
                </c:pt>
              </c:numCache>
            </c:numRef>
          </c:val>
          <c:smooth val="0"/>
          <c:extLst>
            <c:ext xmlns:c16="http://schemas.microsoft.com/office/drawing/2014/chart" uri="{C3380CC4-5D6E-409C-BE32-E72D297353CC}">
              <c16:uniqueId val="{00000022-DC0C-438E-9F1E-243856D8EC76}"/>
            </c:ext>
          </c:extLst>
        </c:ser>
        <c:dLbls>
          <c:dLblPos val="ctr"/>
          <c:showLegendKey val="0"/>
          <c:showVal val="1"/>
          <c:showCatName val="0"/>
          <c:showSerName val="0"/>
          <c:showPercent val="0"/>
          <c:showBubbleSize val="0"/>
        </c:dLbls>
        <c:marker val="1"/>
        <c:smooth val="0"/>
        <c:axId val="444777640"/>
        <c:axId val="444782344"/>
      </c:lineChart>
      <c:catAx>
        <c:axId val="444781560"/>
        <c:scaling>
          <c:orientation val="minMax"/>
        </c:scaling>
        <c:delete val="0"/>
        <c:axPos val="b"/>
        <c:numFmt formatCode="General" sourceLinked="1"/>
        <c:majorTickMark val="out"/>
        <c:minorTickMark val="none"/>
        <c:tickLblPos val="nextTo"/>
        <c:txPr>
          <a:bodyPr/>
          <a:lstStyle/>
          <a:p>
            <a:pPr>
              <a:defRPr sz="800">
                <a:solidFill>
                  <a:schemeClr val="accent1">
                    <a:lumMod val="75000"/>
                  </a:schemeClr>
                </a:solidFill>
              </a:defRPr>
            </a:pPr>
            <a:endParaRPr lang="fr-FR"/>
          </a:p>
        </c:txPr>
        <c:crossAx val="444781952"/>
        <c:crosses val="autoZero"/>
        <c:auto val="1"/>
        <c:lblAlgn val="ctr"/>
        <c:lblOffset val="100"/>
        <c:noMultiLvlLbl val="0"/>
      </c:catAx>
      <c:valAx>
        <c:axId val="444781952"/>
        <c:scaling>
          <c:orientation val="minMax"/>
          <c:max val="10000"/>
          <c:min val="0"/>
        </c:scaling>
        <c:delete val="0"/>
        <c:axPos val="l"/>
        <c:numFmt formatCode="#\ ##0.0" sourceLinked="1"/>
        <c:majorTickMark val="out"/>
        <c:minorTickMark val="none"/>
        <c:tickLblPos val="nextTo"/>
        <c:txPr>
          <a:bodyPr/>
          <a:lstStyle/>
          <a:p>
            <a:pPr>
              <a:defRPr sz="800">
                <a:solidFill>
                  <a:schemeClr val="accent1">
                    <a:lumMod val="75000"/>
                  </a:schemeClr>
                </a:solidFill>
              </a:defRPr>
            </a:pPr>
            <a:endParaRPr lang="fr-FR"/>
          </a:p>
        </c:txPr>
        <c:crossAx val="444781560"/>
        <c:crosses val="autoZero"/>
        <c:crossBetween val="between"/>
        <c:majorUnit val="1000"/>
      </c:valAx>
      <c:valAx>
        <c:axId val="444782344"/>
        <c:scaling>
          <c:orientation val="minMax"/>
          <c:max val="8.0000000000000016E-2"/>
          <c:min val="0"/>
        </c:scaling>
        <c:delete val="0"/>
        <c:axPos val="r"/>
        <c:title>
          <c:tx>
            <c:rich>
              <a:bodyPr rot="-5400000" vert="horz"/>
              <a:lstStyle/>
              <a:p>
                <a:pPr>
                  <a:defRPr sz="800" b="0">
                    <a:solidFill>
                      <a:srgbClr val="C00000"/>
                    </a:solidFill>
                  </a:defRPr>
                </a:pPr>
                <a:r>
                  <a:rPr lang="fr-FR" sz="800" b="0">
                    <a:solidFill>
                      <a:srgbClr val="C00000"/>
                    </a:solidFill>
                  </a:rPr>
                  <a:t>Evolution en %</a:t>
                </a:r>
              </a:p>
            </c:rich>
          </c:tx>
          <c:layout>
            <c:manualLayout>
              <c:xMode val="edge"/>
              <c:yMode val="edge"/>
              <c:x val="0.94233794439746732"/>
              <c:y val="0.31400911029257372"/>
            </c:manualLayout>
          </c:layout>
          <c:overlay val="0"/>
        </c:title>
        <c:numFmt formatCode="\+0.0%;\-0.0%;General" sourceLinked="1"/>
        <c:majorTickMark val="out"/>
        <c:minorTickMark val="none"/>
        <c:tickLblPos val="nextTo"/>
        <c:txPr>
          <a:bodyPr/>
          <a:lstStyle/>
          <a:p>
            <a:pPr>
              <a:defRPr sz="800">
                <a:solidFill>
                  <a:schemeClr val="accent2"/>
                </a:solidFill>
              </a:defRPr>
            </a:pPr>
            <a:endParaRPr lang="fr-FR"/>
          </a:p>
        </c:txPr>
        <c:crossAx val="444777640"/>
        <c:crosses val="max"/>
        <c:crossBetween val="between"/>
        <c:majorUnit val="1.0000000000000002E-2"/>
      </c:valAx>
      <c:catAx>
        <c:axId val="444777640"/>
        <c:scaling>
          <c:orientation val="minMax"/>
        </c:scaling>
        <c:delete val="1"/>
        <c:axPos val="b"/>
        <c:numFmt formatCode="General" sourceLinked="1"/>
        <c:majorTickMark val="out"/>
        <c:minorTickMark val="none"/>
        <c:tickLblPos val="nextTo"/>
        <c:crossAx val="444782344"/>
        <c:crosses val="autoZero"/>
        <c:auto val="1"/>
        <c:lblAlgn val="ctr"/>
        <c:lblOffset val="100"/>
        <c:noMultiLvlLbl val="0"/>
      </c:catAx>
    </c:plotArea>
    <c:legend>
      <c:legendPos val="b"/>
      <c:legendEntry>
        <c:idx val="2"/>
        <c:txPr>
          <a:bodyPr/>
          <a:lstStyle/>
          <a:p>
            <a:pPr>
              <a:defRPr sz="900">
                <a:solidFill>
                  <a:srgbClr val="C00000"/>
                </a:solidFill>
              </a:defRPr>
            </a:pPr>
            <a:endParaRPr lang="fr-FR"/>
          </a:p>
        </c:txPr>
      </c:legendEntry>
      <c:layout>
        <c:manualLayout>
          <c:xMode val="edge"/>
          <c:yMode val="edge"/>
          <c:x val="0"/>
          <c:y val="0.88114639567954611"/>
          <c:w val="1"/>
          <c:h val="0.1124532348482952"/>
        </c:manualLayout>
      </c:layout>
      <c:overlay val="0"/>
      <c:txPr>
        <a:bodyPr/>
        <a:lstStyle/>
        <a:p>
          <a:pPr>
            <a:defRPr sz="900">
              <a:solidFill>
                <a:schemeClr val="accent1">
                  <a:lumMod val="75000"/>
                </a:schemeClr>
              </a:solidFill>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Recettes totales</c:v>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rect">
                <a:fillToRect l="100000" t="100000"/>
              </a:path>
              <a:tileRect r="-100000" b="-100000"/>
            </a:gradFill>
          </c:spPr>
          <c:invertIfNegative val="0"/>
          <c:dPt>
            <c:idx val="0"/>
            <c:invertIfNegative val="0"/>
            <c:bubble3D val="0"/>
            <c:extLst>
              <c:ext xmlns:c16="http://schemas.microsoft.com/office/drawing/2014/chart" uri="{C3380CC4-5D6E-409C-BE32-E72D297353CC}">
                <c16:uniqueId val="{00000000-256A-4408-BCCA-649E7A383EE5}"/>
              </c:ext>
            </c:extLst>
          </c:dPt>
          <c:dPt>
            <c:idx val="1"/>
            <c:invertIfNegative val="0"/>
            <c:bubble3D val="0"/>
            <c:extLst>
              <c:ext xmlns:c16="http://schemas.microsoft.com/office/drawing/2014/chart" uri="{C3380CC4-5D6E-409C-BE32-E72D297353CC}">
                <c16:uniqueId val="{00000002-256A-4408-BCCA-649E7A383EE5}"/>
              </c:ext>
            </c:extLst>
          </c:dPt>
          <c:dPt>
            <c:idx val="2"/>
            <c:invertIfNegative val="0"/>
            <c:bubble3D val="0"/>
            <c:extLst>
              <c:ext xmlns:c16="http://schemas.microsoft.com/office/drawing/2014/chart" uri="{C3380CC4-5D6E-409C-BE32-E72D297353CC}">
                <c16:uniqueId val="{00000004-256A-4408-BCCA-649E7A383EE5}"/>
              </c:ext>
            </c:extLst>
          </c:dPt>
          <c:dPt>
            <c:idx val="3"/>
            <c:invertIfNegative val="0"/>
            <c:bubble3D val="0"/>
            <c:extLst>
              <c:ext xmlns:c16="http://schemas.microsoft.com/office/drawing/2014/chart" uri="{C3380CC4-5D6E-409C-BE32-E72D297353CC}">
                <c16:uniqueId val="{00000006-256A-4408-BCCA-649E7A383EE5}"/>
              </c:ext>
            </c:extLst>
          </c:dPt>
          <c:dPt>
            <c:idx val="4"/>
            <c:invertIfNegative val="0"/>
            <c:bubble3D val="0"/>
            <c:extLst>
              <c:ext xmlns:c16="http://schemas.microsoft.com/office/drawing/2014/chart" uri="{C3380CC4-5D6E-409C-BE32-E72D297353CC}">
                <c16:uniqueId val="{00000008-256A-4408-BCCA-649E7A383EE5}"/>
              </c:ext>
            </c:extLst>
          </c:dPt>
          <c:dPt>
            <c:idx val="5"/>
            <c:invertIfNegative val="0"/>
            <c:bubble3D val="0"/>
            <c:extLst>
              <c:ext xmlns:c16="http://schemas.microsoft.com/office/drawing/2014/chart" uri="{C3380CC4-5D6E-409C-BE32-E72D297353CC}">
                <c16:uniqueId val="{0000000A-256A-4408-BCCA-649E7A383EE5}"/>
              </c:ext>
            </c:extLst>
          </c:dPt>
          <c:dLbls>
            <c:dLbl>
              <c:idx val="1"/>
              <c:layout>
                <c:manualLayout>
                  <c:x val="3.1419231443956797E-17"/>
                  <c:y val="4.20988698726708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6A-4408-BCCA-649E7A383EE5}"/>
                </c:ext>
              </c:extLst>
            </c:dLbl>
            <c:dLbl>
              <c:idx val="2"/>
              <c:layout>
                <c:manualLayout>
                  <c:x val="-2.6373626373626374E-2"/>
                  <c:y val="4.69446600865032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6A-4408-BCCA-649E7A383EE5}"/>
                </c:ext>
              </c:extLst>
            </c:dLbl>
            <c:dLbl>
              <c:idx val="3"/>
              <c:layout>
                <c:manualLayout>
                  <c:x val="0"/>
                  <c:y val="-1.42900742058404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6A-4408-BCCA-649E7A383EE5}"/>
                </c:ext>
              </c:extLst>
            </c:dLbl>
            <c:dLbl>
              <c:idx val="4"/>
              <c:layout>
                <c:manualLayout>
                  <c:x val="-3.5088411443350374E-3"/>
                  <c:y val="-1.4300538014143784E-3"/>
                </c:manualLayout>
              </c:layout>
              <c:spPr>
                <a:solidFill>
                  <a:schemeClr val="accent5">
                    <a:lumMod val="75000"/>
                  </a:schemeClr>
                </a:solidFill>
                <a:ln>
                  <a:noFill/>
                </a:ln>
              </c:spPr>
              <c:txPr>
                <a:bodyPr/>
                <a:lstStyle/>
                <a:p>
                  <a:pPr>
                    <a:defRPr sz="800" b="1">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56A-4408-BCCA-649E7A383EE5}"/>
                </c:ext>
              </c:extLst>
            </c:dLbl>
            <c:dLbl>
              <c:idx val="5"/>
              <c:layout>
                <c:manualLayout>
                  <c:x val="-2.1499591447086329E-4"/>
                  <c:y val="-1.2774699458863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6A-4408-BCCA-649E7A383EE5}"/>
                </c:ext>
              </c:extLst>
            </c:dLbl>
            <c:spPr>
              <a:solidFill>
                <a:schemeClr val="accent5">
                  <a:lumMod val="75000"/>
                </a:schemeClr>
              </a:solidFill>
            </c:spPr>
            <c:txPr>
              <a:bodyPr/>
              <a:lstStyle/>
              <a:p>
                <a:pPr>
                  <a:defRPr sz="8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RETRAITE!$B$27:$G$27</c:f>
              <c:strCache>
                <c:ptCount val="6"/>
                <c:pt idx="0">
                  <c:v>2023</c:v>
                </c:pt>
                <c:pt idx="1">
                  <c:v>2024(p)</c:v>
                </c:pt>
                <c:pt idx="2">
                  <c:v>2025(p)</c:v>
                </c:pt>
                <c:pt idx="3">
                  <c:v>2026(p)</c:v>
                </c:pt>
                <c:pt idx="4">
                  <c:v>2027(p)</c:v>
                </c:pt>
                <c:pt idx="5">
                  <c:v>2028(p)</c:v>
                </c:pt>
              </c:strCache>
            </c:strRef>
          </c:cat>
          <c:val>
            <c:numRef>
              <c:f>RETRAITE!$C$4:$H$4</c:f>
              <c:numCache>
                <c:formatCode>#\ ##0.0</c:formatCode>
                <c:ptCount val="6"/>
                <c:pt idx="0">
                  <c:v>7234.6103347100006</c:v>
                </c:pt>
                <c:pt idx="1">
                  <c:v>7615.2751465405736</c:v>
                </c:pt>
                <c:pt idx="2">
                  <c:v>7889.1581563343143</c:v>
                </c:pt>
                <c:pt idx="3">
                  <c:v>8138.6708055944373</c:v>
                </c:pt>
                <c:pt idx="4">
                  <c:v>8418.9245427860769</c:v>
                </c:pt>
                <c:pt idx="5">
                  <c:v>8675.6387048341967</c:v>
                </c:pt>
              </c:numCache>
            </c:numRef>
          </c:val>
          <c:extLst>
            <c:ext xmlns:c16="http://schemas.microsoft.com/office/drawing/2014/chart" uri="{C3380CC4-5D6E-409C-BE32-E72D297353CC}">
              <c16:uniqueId val="{0000000B-256A-4408-BCCA-649E7A383EE5}"/>
            </c:ext>
          </c:extLst>
        </c:ser>
        <c:ser>
          <c:idx val="2"/>
          <c:order val="2"/>
          <c:tx>
            <c:v>Cotisations sociales</c:v>
          </c:tx>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rect">
                <a:fillToRect l="100000" t="100000"/>
              </a:path>
              <a:tileRect r="-100000" b="-100000"/>
            </a:gradFill>
          </c:spPr>
          <c:invertIfNegative val="0"/>
          <c:dPt>
            <c:idx val="1"/>
            <c:invertIfNegative val="0"/>
            <c:bubble3D val="0"/>
            <c:extLst>
              <c:ext xmlns:c16="http://schemas.microsoft.com/office/drawing/2014/chart" uri="{C3380CC4-5D6E-409C-BE32-E72D297353CC}">
                <c16:uniqueId val="{0000000D-256A-4408-BCCA-649E7A383EE5}"/>
              </c:ext>
            </c:extLst>
          </c:dPt>
          <c:dPt>
            <c:idx val="2"/>
            <c:invertIfNegative val="0"/>
            <c:bubble3D val="0"/>
            <c:extLst>
              <c:ext xmlns:c16="http://schemas.microsoft.com/office/drawing/2014/chart" uri="{C3380CC4-5D6E-409C-BE32-E72D297353CC}">
                <c16:uniqueId val="{0000000F-256A-4408-BCCA-649E7A383EE5}"/>
              </c:ext>
            </c:extLst>
          </c:dPt>
          <c:dPt>
            <c:idx val="3"/>
            <c:invertIfNegative val="0"/>
            <c:bubble3D val="0"/>
            <c:extLst>
              <c:ext xmlns:c16="http://schemas.microsoft.com/office/drawing/2014/chart" uri="{C3380CC4-5D6E-409C-BE32-E72D297353CC}">
                <c16:uniqueId val="{00000011-256A-4408-BCCA-649E7A383EE5}"/>
              </c:ext>
            </c:extLst>
          </c:dPt>
          <c:dPt>
            <c:idx val="4"/>
            <c:invertIfNegative val="0"/>
            <c:bubble3D val="0"/>
            <c:extLst>
              <c:ext xmlns:c16="http://schemas.microsoft.com/office/drawing/2014/chart" uri="{C3380CC4-5D6E-409C-BE32-E72D297353CC}">
                <c16:uniqueId val="{00000013-256A-4408-BCCA-649E7A383EE5}"/>
              </c:ext>
            </c:extLst>
          </c:dPt>
          <c:dPt>
            <c:idx val="5"/>
            <c:invertIfNegative val="0"/>
            <c:bubble3D val="0"/>
            <c:extLst>
              <c:ext xmlns:c16="http://schemas.microsoft.com/office/drawing/2014/chart" uri="{C3380CC4-5D6E-409C-BE32-E72D297353CC}">
                <c16:uniqueId val="{00000015-256A-4408-BCCA-649E7A383EE5}"/>
              </c:ext>
            </c:extLst>
          </c:dPt>
          <c:dLbls>
            <c:dLbl>
              <c:idx val="0"/>
              <c:layout>
                <c:manualLayout>
                  <c:x val="2.57028112449799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56A-4408-BCCA-649E7A383EE5}"/>
                </c:ext>
              </c:extLst>
            </c:dLbl>
            <c:dLbl>
              <c:idx val="1"/>
              <c:layout>
                <c:manualLayout>
                  <c:x val="2.513801159470451E-2"/>
                  <c:y val="8.91649107241876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56A-4408-BCCA-649E7A383EE5}"/>
                </c:ext>
              </c:extLst>
            </c:dLbl>
            <c:dLbl>
              <c:idx val="2"/>
              <c:layout>
                <c:manualLayout>
                  <c:x val="2.891566265060241E-2"/>
                  <c:y val="5.16795865633074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56A-4408-BCCA-649E7A383EE5}"/>
                </c:ext>
              </c:extLst>
            </c:dLbl>
            <c:dLbl>
              <c:idx val="3"/>
              <c:layout>
                <c:manualLayout>
                  <c:x val="2.2489959839357431E-2"/>
                  <c:y val="2.9607754437255797E-1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56A-4408-BCCA-649E7A383EE5}"/>
                </c:ext>
              </c:extLst>
            </c:dLbl>
            <c:dLbl>
              <c:idx val="4"/>
              <c:layout>
                <c:manualLayout>
                  <c:x val="2.57028112449799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56A-4408-BCCA-649E7A383EE5}"/>
                </c:ext>
              </c:extLst>
            </c:dLbl>
            <c:dLbl>
              <c:idx val="5"/>
              <c:layout>
                <c:manualLayout>
                  <c:x val="2.89156626506024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56A-4408-BCCA-649E7A383EE5}"/>
                </c:ext>
              </c:extLst>
            </c:dLbl>
            <c:spPr>
              <a:solidFill>
                <a:schemeClr val="accent1"/>
              </a:solidFill>
            </c:spPr>
            <c:txPr>
              <a:bodyPr/>
              <a:lstStyle/>
              <a:p>
                <a:pPr>
                  <a:defRPr sz="800" b="1">
                    <a:solidFill>
                      <a:schemeClr val="bg1"/>
                    </a:solidFill>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RETRAITE!$B$27:$G$27</c:f>
              <c:strCache>
                <c:ptCount val="6"/>
                <c:pt idx="0">
                  <c:v>2023</c:v>
                </c:pt>
                <c:pt idx="1">
                  <c:v>2024(p)</c:v>
                </c:pt>
                <c:pt idx="2">
                  <c:v>2025(p)</c:v>
                </c:pt>
                <c:pt idx="3">
                  <c:v>2026(p)</c:v>
                </c:pt>
                <c:pt idx="4">
                  <c:v>2027(p)</c:v>
                </c:pt>
                <c:pt idx="5">
                  <c:v>2028(p)</c:v>
                </c:pt>
              </c:strCache>
            </c:strRef>
          </c:cat>
          <c:val>
            <c:numRef>
              <c:f>RETRAITE!$C$5:$H$5</c:f>
              <c:numCache>
                <c:formatCode>#\ ##0.0</c:formatCode>
                <c:ptCount val="6"/>
                <c:pt idx="0">
                  <c:v>3352.37812231</c:v>
                </c:pt>
                <c:pt idx="1">
                  <c:v>3443.9700552472873</c:v>
                </c:pt>
                <c:pt idx="2">
                  <c:v>3512.4640887295559</c:v>
                </c:pt>
                <c:pt idx="3">
                  <c:v>3581.285171898046</c:v>
                </c:pt>
                <c:pt idx="4">
                  <c:v>3650.5238947125549</c:v>
                </c:pt>
                <c:pt idx="5">
                  <c:v>3719.9725091312648</c:v>
                </c:pt>
              </c:numCache>
            </c:numRef>
          </c:val>
          <c:extLst>
            <c:ext xmlns:c16="http://schemas.microsoft.com/office/drawing/2014/chart" uri="{C3380CC4-5D6E-409C-BE32-E72D297353CC}">
              <c16:uniqueId val="{00000017-256A-4408-BCCA-649E7A383EE5}"/>
            </c:ext>
          </c:extLst>
        </c:ser>
        <c:dLbls>
          <c:showLegendKey val="0"/>
          <c:showVal val="0"/>
          <c:showCatName val="0"/>
          <c:showSerName val="0"/>
          <c:showPercent val="0"/>
          <c:showBubbleSize val="0"/>
        </c:dLbls>
        <c:gapWidth val="150"/>
        <c:axId val="445234824"/>
        <c:axId val="445232472"/>
      </c:barChart>
      <c:lineChart>
        <c:grouping val="standard"/>
        <c:varyColors val="0"/>
        <c:ser>
          <c:idx val="1"/>
          <c:order val="1"/>
          <c:tx>
            <c:v>Evolution des recettes totales</c:v>
          </c:tx>
          <c:spPr>
            <a:ln w="19050">
              <a:prstDash val="sysDot"/>
            </a:ln>
          </c:spPr>
          <c:dPt>
            <c:idx val="1"/>
            <c:bubble3D val="0"/>
            <c:spPr>
              <a:ln w="19050">
                <a:prstDash val="solid"/>
              </a:ln>
            </c:spPr>
            <c:extLst>
              <c:ext xmlns:c16="http://schemas.microsoft.com/office/drawing/2014/chart" uri="{C3380CC4-5D6E-409C-BE32-E72D297353CC}">
                <c16:uniqueId val="{00000019-256A-4408-BCCA-649E7A383EE5}"/>
              </c:ext>
            </c:extLst>
          </c:dPt>
          <c:dPt>
            <c:idx val="2"/>
            <c:bubble3D val="0"/>
            <c:extLst>
              <c:ext xmlns:c16="http://schemas.microsoft.com/office/drawing/2014/chart" uri="{C3380CC4-5D6E-409C-BE32-E72D297353CC}">
                <c16:uniqueId val="{0000001A-256A-4408-BCCA-649E7A383EE5}"/>
              </c:ext>
            </c:extLst>
          </c:dPt>
          <c:dPt>
            <c:idx val="3"/>
            <c:bubble3D val="0"/>
            <c:extLst>
              <c:ext xmlns:c16="http://schemas.microsoft.com/office/drawing/2014/chart" uri="{C3380CC4-5D6E-409C-BE32-E72D297353CC}">
                <c16:uniqueId val="{0000001B-256A-4408-BCCA-649E7A383EE5}"/>
              </c:ext>
            </c:extLst>
          </c:dPt>
          <c:dPt>
            <c:idx val="4"/>
            <c:bubble3D val="0"/>
            <c:extLst>
              <c:ext xmlns:c16="http://schemas.microsoft.com/office/drawing/2014/chart" uri="{C3380CC4-5D6E-409C-BE32-E72D297353CC}">
                <c16:uniqueId val="{0000001C-256A-4408-BCCA-649E7A383EE5}"/>
              </c:ext>
            </c:extLst>
          </c:dPt>
          <c:dPt>
            <c:idx val="5"/>
            <c:bubble3D val="0"/>
            <c:extLst>
              <c:ext xmlns:c16="http://schemas.microsoft.com/office/drawing/2014/chart" uri="{C3380CC4-5D6E-409C-BE32-E72D297353CC}">
                <c16:uniqueId val="{0000001D-256A-4408-BCCA-649E7A383EE5}"/>
              </c:ext>
            </c:extLst>
          </c:dPt>
          <c:dPt>
            <c:idx val="6"/>
            <c:bubble3D val="0"/>
            <c:extLst>
              <c:ext xmlns:c16="http://schemas.microsoft.com/office/drawing/2014/chart" uri="{C3380CC4-5D6E-409C-BE32-E72D297353CC}">
                <c16:uniqueId val="{0000001E-256A-4408-BCCA-649E7A383EE5}"/>
              </c:ext>
            </c:extLst>
          </c:dPt>
          <c:dPt>
            <c:idx val="7"/>
            <c:bubble3D val="0"/>
            <c:extLst>
              <c:ext xmlns:c16="http://schemas.microsoft.com/office/drawing/2014/chart" uri="{C3380CC4-5D6E-409C-BE32-E72D297353CC}">
                <c16:uniqueId val="{0000001F-256A-4408-BCCA-649E7A383EE5}"/>
              </c:ext>
            </c:extLst>
          </c:dPt>
          <c:dPt>
            <c:idx val="8"/>
            <c:bubble3D val="0"/>
            <c:extLst>
              <c:ext xmlns:c16="http://schemas.microsoft.com/office/drawing/2014/chart" uri="{C3380CC4-5D6E-409C-BE32-E72D297353CC}">
                <c16:uniqueId val="{00000020-256A-4408-BCCA-649E7A383EE5}"/>
              </c:ext>
            </c:extLst>
          </c:dPt>
          <c:dLbls>
            <c:dLbl>
              <c:idx val="0"/>
              <c:layout>
                <c:manualLayout>
                  <c:x val="-5.4193330474811299E-2"/>
                  <c:y val="-5.93628020057097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56A-4408-BCCA-649E7A383EE5}"/>
                </c:ext>
              </c:extLst>
            </c:dLbl>
            <c:dLbl>
              <c:idx val="1"/>
              <c:layout>
                <c:manualLayout>
                  <c:x val="-3.7058056422192551E-2"/>
                  <c:y val="-5.8896084734970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56A-4408-BCCA-649E7A383EE5}"/>
                </c:ext>
              </c:extLst>
            </c:dLbl>
            <c:dLbl>
              <c:idx val="2"/>
              <c:layout>
                <c:manualLayout>
                  <c:x val="-5.3311378530513875E-2"/>
                  <c:y val="6.23668639053253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56A-4408-BCCA-649E7A383EE5}"/>
                </c:ext>
              </c:extLst>
            </c:dLbl>
            <c:dLbl>
              <c:idx val="3"/>
              <c:layout>
                <c:manualLayout>
                  <c:x val="-3.8542399181234498E-2"/>
                  <c:y val="-5.72687881470437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56A-4408-BCCA-649E7A383EE5}"/>
                </c:ext>
              </c:extLst>
            </c:dLbl>
            <c:dLbl>
              <c:idx val="4"/>
              <c:layout>
                <c:manualLayout>
                  <c:x val="-4.4739101008600339E-2"/>
                  <c:y val="5.23704359440277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56A-4408-BCCA-649E7A383EE5}"/>
                </c:ext>
              </c:extLst>
            </c:dLbl>
            <c:dLbl>
              <c:idx val="5"/>
              <c:layout>
                <c:manualLayout>
                  <c:x val="-3.2370788557090739E-2"/>
                  <c:y val="-5.2904999301122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56A-4408-BCCA-649E7A383EE5}"/>
                </c:ext>
              </c:extLst>
            </c:dLbl>
            <c:dLbl>
              <c:idx val="6"/>
              <c:layout>
                <c:manualLayout>
                  <c:x val="-1.3917884481558803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56A-4408-BCCA-649E7A383EE5}"/>
                </c:ext>
              </c:extLst>
            </c:dLbl>
            <c:dLbl>
              <c:idx val="7"/>
              <c:layout>
                <c:manualLayout>
                  <c:x val="-1.9485038274182426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56A-4408-BCCA-649E7A383EE5}"/>
                </c:ext>
              </c:extLst>
            </c:dLbl>
            <c:dLbl>
              <c:idx val="8"/>
              <c:layout>
                <c:manualLayout>
                  <c:x val="-1.6701461377870562E-2"/>
                  <c:y val="5.31561461794019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56A-4408-BCCA-649E7A383EE5}"/>
                </c:ext>
              </c:extLst>
            </c:dLbl>
            <c:spPr>
              <a:solidFill>
                <a:schemeClr val="accent2">
                  <a:lumMod val="20000"/>
                  <a:lumOff val="80000"/>
                </a:schemeClr>
              </a:solidFill>
              <a:ln>
                <a:solidFill>
                  <a:srgbClr val="C00000"/>
                </a:solidFill>
              </a:ln>
            </c:spPr>
            <c:txPr>
              <a:bodyPr/>
              <a:lstStyle/>
              <a:p>
                <a:pPr>
                  <a:defRPr sz="900" i="1">
                    <a:solidFill>
                      <a:schemeClr val="accent2"/>
                    </a:solidFill>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6"/>
              <c:pt idx="0">
                <c:v>0</c:v>
              </c:pt>
              <c:pt idx="1">
                <c:v>0</c:v>
              </c:pt>
              <c:pt idx="2">
                <c:v>0</c:v>
              </c:pt>
              <c:pt idx="3">
                <c:v>0</c:v>
              </c:pt>
              <c:pt idx="4">
                <c:v>0</c:v>
              </c:pt>
              <c:pt idx="5">
                <c:v>0</c:v>
              </c:pt>
            </c:numLit>
          </c:cat>
          <c:val>
            <c:numRef>
              <c:f>RETRAITE!$B$17:$G$17</c:f>
              <c:numCache>
                <c:formatCode>\+0.0%;\-0.0%;General</c:formatCode>
                <c:ptCount val="6"/>
                <c:pt idx="0">
                  <c:v>4.9445349831012342E-2</c:v>
                </c:pt>
                <c:pt idx="1">
                  <c:v>5.2617182435414689E-2</c:v>
                </c:pt>
                <c:pt idx="2">
                  <c:v>3.596495261476651E-2</c:v>
                </c:pt>
                <c:pt idx="3">
                  <c:v>3.1627284472651285E-2</c:v>
                </c:pt>
                <c:pt idx="4">
                  <c:v>3.4434828964822639E-2</c:v>
                </c:pt>
                <c:pt idx="5">
                  <c:v>3.0492512522646509E-2</c:v>
                </c:pt>
              </c:numCache>
            </c:numRef>
          </c:val>
          <c:smooth val="0"/>
          <c:extLst>
            <c:ext xmlns:c16="http://schemas.microsoft.com/office/drawing/2014/chart" uri="{C3380CC4-5D6E-409C-BE32-E72D297353CC}">
              <c16:uniqueId val="{00000022-256A-4408-BCCA-649E7A383EE5}"/>
            </c:ext>
          </c:extLst>
        </c:ser>
        <c:dLbls>
          <c:dLblPos val="ctr"/>
          <c:showLegendKey val="0"/>
          <c:showVal val="1"/>
          <c:showCatName val="0"/>
          <c:showSerName val="0"/>
          <c:showPercent val="0"/>
          <c:showBubbleSize val="0"/>
        </c:dLbls>
        <c:marker val="1"/>
        <c:smooth val="0"/>
        <c:axId val="445231296"/>
        <c:axId val="445237960"/>
      </c:lineChart>
      <c:catAx>
        <c:axId val="445234824"/>
        <c:scaling>
          <c:orientation val="minMax"/>
        </c:scaling>
        <c:delete val="0"/>
        <c:axPos val="b"/>
        <c:numFmt formatCode="General" sourceLinked="1"/>
        <c:majorTickMark val="out"/>
        <c:minorTickMark val="none"/>
        <c:tickLblPos val="nextTo"/>
        <c:txPr>
          <a:bodyPr/>
          <a:lstStyle/>
          <a:p>
            <a:pPr>
              <a:defRPr sz="800">
                <a:solidFill>
                  <a:schemeClr val="accent1">
                    <a:lumMod val="75000"/>
                  </a:schemeClr>
                </a:solidFill>
              </a:defRPr>
            </a:pPr>
            <a:endParaRPr lang="fr-FR"/>
          </a:p>
        </c:txPr>
        <c:crossAx val="445232472"/>
        <c:crosses val="autoZero"/>
        <c:auto val="1"/>
        <c:lblAlgn val="ctr"/>
        <c:lblOffset val="100"/>
        <c:noMultiLvlLbl val="0"/>
      </c:catAx>
      <c:valAx>
        <c:axId val="445232472"/>
        <c:scaling>
          <c:orientation val="minMax"/>
          <c:max val="10000"/>
          <c:min val="0"/>
        </c:scaling>
        <c:delete val="0"/>
        <c:axPos val="l"/>
        <c:numFmt formatCode="#\ ##0.0" sourceLinked="1"/>
        <c:majorTickMark val="out"/>
        <c:minorTickMark val="none"/>
        <c:tickLblPos val="nextTo"/>
        <c:txPr>
          <a:bodyPr/>
          <a:lstStyle/>
          <a:p>
            <a:pPr>
              <a:defRPr sz="800">
                <a:solidFill>
                  <a:schemeClr val="accent1">
                    <a:lumMod val="75000"/>
                  </a:schemeClr>
                </a:solidFill>
              </a:defRPr>
            </a:pPr>
            <a:endParaRPr lang="fr-FR"/>
          </a:p>
        </c:txPr>
        <c:crossAx val="445234824"/>
        <c:crosses val="autoZero"/>
        <c:crossBetween val="between"/>
        <c:majorUnit val="2000"/>
      </c:valAx>
      <c:valAx>
        <c:axId val="445237960"/>
        <c:scaling>
          <c:orientation val="minMax"/>
          <c:max val="6.0000000000000012E-2"/>
          <c:min val="0"/>
        </c:scaling>
        <c:delete val="0"/>
        <c:axPos val="r"/>
        <c:title>
          <c:tx>
            <c:rich>
              <a:bodyPr rot="-5400000" vert="horz"/>
              <a:lstStyle/>
              <a:p>
                <a:pPr>
                  <a:defRPr sz="800" b="0">
                    <a:solidFill>
                      <a:srgbClr val="C00000"/>
                    </a:solidFill>
                  </a:defRPr>
                </a:pPr>
                <a:r>
                  <a:rPr lang="fr-FR" sz="800" b="0">
                    <a:solidFill>
                      <a:srgbClr val="C00000"/>
                    </a:solidFill>
                  </a:rPr>
                  <a:t>Evolution en %</a:t>
                </a:r>
              </a:p>
            </c:rich>
          </c:tx>
          <c:overlay val="0"/>
        </c:title>
        <c:numFmt formatCode="\+0.0%;\-0.0%;General" sourceLinked="0"/>
        <c:majorTickMark val="out"/>
        <c:minorTickMark val="none"/>
        <c:tickLblPos val="nextTo"/>
        <c:txPr>
          <a:bodyPr/>
          <a:lstStyle/>
          <a:p>
            <a:pPr>
              <a:defRPr sz="800">
                <a:solidFill>
                  <a:schemeClr val="accent2"/>
                </a:solidFill>
              </a:defRPr>
            </a:pPr>
            <a:endParaRPr lang="fr-FR"/>
          </a:p>
        </c:txPr>
        <c:crossAx val="445231296"/>
        <c:crosses val="max"/>
        <c:crossBetween val="between"/>
        <c:majorUnit val="1.0000000000000002E-2"/>
      </c:valAx>
      <c:catAx>
        <c:axId val="445231296"/>
        <c:scaling>
          <c:orientation val="minMax"/>
        </c:scaling>
        <c:delete val="1"/>
        <c:axPos val="b"/>
        <c:numFmt formatCode="General" sourceLinked="1"/>
        <c:majorTickMark val="out"/>
        <c:minorTickMark val="none"/>
        <c:tickLblPos val="nextTo"/>
        <c:crossAx val="445237960"/>
        <c:crosses val="autoZero"/>
        <c:auto val="1"/>
        <c:lblAlgn val="ctr"/>
        <c:lblOffset val="100"/>
        <c:noMultiLvlLbl val="0"/>
      </c:catAx>
    </c:plotArea>
    <c:legend>
      <c:legendPos val="b"/>
      <c:legendEntry>
        <c:idx val="2"/>
        <c:txPr>
          <a:bodyPr/>
          <a:lstStyle/>
          <a:p>
            <a:pPr>
              <a:defRPr sz="900">
                <a:solidFill>
                  <a:srgbClr val="C00000"/>
                </a:solidFill>
              </a:defRPr>
            </a:pPr>
            <a:endParaRPr lang="fr-FR"/>
          </a:p>
        </c:txPr>
      </c:legendEntry>
      <c:layout>
        <c:manualLayout>
          <c:xMode val="edge"/>
          <c:yMode val="edge"/>
          <c:x val="6.2369302893742054E-2"/>
          <c:y val="0.90976284769137583"/>
          <c:w val="0.83752554515591215"/>
          <c:h val="6.6568513255369707E-2"/>
        </c:manualLayout>
      </c:layout>
      <c:overlay val="0"/>
      <c:txPr>
        <a:bodyPr/>
        <a:lstStyle/>
        <a:p>
          <a:pPr>
            <a:defRPr sz="900">
              <a:solidFill>
                <a:schemeClr val="accent1">
                  <a:lumMod val="75000"/>
                </a:schemeClr>
              </a:solidFill>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43702698639365E-2"/>
          <c:y val="9.7240726087072127E-2"/>
          <c:w val="0.81039535924640371"/>
          <c:h val="0.71914802260171151"/>
        </c:manualLayout>
      </c:layout>
      <c:barChart>
        <c:barDir val="col"/>
        <c:grouping val="clustered"/>
        <c:varyColors val="0"/>
        <c:ser>
          <c:idx val="0"/>
          <c:order val="0"/>
          <c:tx>
            <c:v>Cotisations sociales</c:v>
          </c:tx>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2619-4B34-BED4-49F1111611FF}"/>
              </c:ext>
            </c:extLst>
          </c:dPt>
          <c:dPt>
            <c:idx val="1"/>
            <c:invertIfNegative val="0"/>
            <c:bubble3D val="0"/>
            <c:extLst>
              <c:ext xmlns:c16="http://schemas.microsoft.com/office/drawing/2014/chart" uri="{C3380CC4-5D6E-409C-BE32-E72D297353CC}">
                <c16:uniqueId val="{00000001-2619-4B34-BED4-49F1111611FF}"/>
              </c:ext>
            </c:extLst>
          </c:dPt>
          <c:dPt>
            <c:idx val="2"/>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3-2619-4B34-BED4-49F1111611FF}"/>
              </c:ext>
            </c:extLst>
          </c:dPt>
          <c:dPt>
            <c:idx val="3"/>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5-2619-4B34-BED4-49F1111611FF}"/>
              </c:ext>
            </c:extLst>
          </c:dPt>
          <c:dPt>
            <c:idx val="4"/>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7-2619-4B34-BED4-49F1111611FF}"/>
              </c:ext>
            </c:extLst>
          </c:dPt>
          <c:dPt>
            <c:idx val="5"/>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9-2619-4B34-BED4-49F1111611FF}"/>
              </c:ext>
            </c:extLst>
          </c:dPt>
          <c:dPt>
            <c:idx val="6"/>
            <c:invertIfNegative val="0"/>
            <c:bubble3D val="0"/>
            <c:spPr>
              <a:solidFill>
                <a:schemeClr val="tx2">
                  <a:lumMod val="60000"/>
                  <a:lumOff val="40000"/>
                </a:schemeClr>
              </a:solidFill>
              <a:ln>
                <a:prstDash val="sysDot"/>
              </a:ln>
            </c:spPr>
            <c:extLst>
              <c:ext xmlns:c16="http://schemas.microsoft.com/office/drawing/2014/chart" uri="{C3380CC4-5D6E-409C-BE32-E72D297353CC}">
                <c16:uniqueId val="{0000000B-2619-4B34-BED4-49F1111611FF}"/>
              </c:ext>
            </c:extLst>
          </c:dPt>
          <c:cat>
            <c:strRef>
              <c:f>RETRAITE!$B$27:$G$27</c:f>
              <c:strCache>
                <c:ptCount val="6"/>
                <c:pt idx="0">
                  <c:v>2023</c:v>
                </c:pt>
                <c:pt idx="1">
                  <c:v>2024(p)</c:v>
                </c:pt>
                <c:pt idx="2">
                  <c:v>2025(p)</c:v>
                </c:pt>
                <c:pt idx="3">
                  <c:v>2026(p)</c:v>
                </c:pt>
                <c:pt idx="4">
                  <c:v>2027(p)</c:v>
                </c:pt>
                <c:pt idx="5">
                  <c:v>2028(p)</c:v>
                </c:pt>
              </c:strCache>
            </c:strRef>
          </c:cat>
          <c:val>
            <c:numRef>
              <c:f>RETRAITE!$B$29:$G$29</c:f>
              <c:numCache>
                <c:formatCode>0.0</c:formatCode>
                <c:ptCount val="6"/>
                <c:pt idx="0">
                  <c:v>3.190747538474028</c:v>
                </c:pt>
                <c:pt idx="1">
                  <c:v>1.2660244118173212</c:v>
                </c:pt>
                <c:pt idx="2">
                  <c:v>0.89942953030900485</c:v>
                </c:pt>
                <c:pt idx="3">
                  <c:v>0.87235015200236943</c:v>
                </c:pt>
                <c:pt idx="4">
                  <c:v>0.85073747874057204</c:v>
                </c:pt>
                <c:pt idx="5">
                  <c:v>0.82491075986918583</c:v>
                </c:pt>
              </c:numCache>
            </c:numRef>
          </c:val>
          <c:extLst>
            <c:ext xmlns:c16="http://schemas.microsoft.com/office/drawing/2014/chart" uri="{C3380CC4-5D6E-409C-BE32-E72D297353CC}">
              <c16:uniqueId val="{0000000C-2619-4B34-BED4-49F1111611FF}"/>
            </c:ext>
          </c:extLst>
        </c:ser>
        <c:ser>
          <c:idx val="1"/>
          <c:order val="1"/>
          <c:tx>
            <c:v>Compensation démographique vieillesse</c:v>
          </c:tx>
          <c:spPr>
            <a:pattFill prst="pct80">
              <a:fgClr>
                <a:schemeClr val="accent1">
                  <a:lumMod val="60000"/>
                  <a:lumOff val="40000"/>
                </a:schemeClr>
              </a:fgClr>
              <a:bgClr>
                <a:schemeClr val="bg1"/>
              </a:bgClr>
            </a:pattFill>
          </c:spPr>
          <c:invertIfNegative val="0"/>
          <c:dPt>
            <c:idx val="2"/>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0E-2619-4B34-BED4-49F1111611FF}"/>
              </c:ext>
            </c:extLst>
          </c:dPt>
          <c:dPt>
            <c:idx val="3"/>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0-2619-4B34-BED4-49F1111611FF}"/>
              </c:ext>
            </c:extLst>
          </c:dPt>
          <c:dPt>
            <c:idx val="4"/>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2-2619-4B34-BED4-49F1111611FF}"/>
              </c:ext>
            </c:extLst>
          </c:dPt>
          <c:dPt>
            <c:idx val="5"/>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4-2619-4B34-BED4-49F1111611FF}"/>
              </c:ext>
            </c:extLst>
          </c:dPt>
          <c:dPt>
            <c:idx val="6"/>
            <c:invertIfNegative val="0"/>
            <c:bubble3D val="0"/>
            <c:spPr>
              <a:pattFill prst="pct80">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16-2619-4B34-BED4-49F1111611FF}"/>
              </c:ext>
            </c:extLst>
          </c:dPt>
          <c:cat>
            <c:strRef>
              <c:f>RETRAITE!$B$27:$G$27</c:f>
              <c:strCache>
                <c:ptCount val="6"/>
                <c:pt idx="0">
                  <c:v>2023</c:v>
                </c:pt>
                <c:pt idx="1">
                  <c:v>2024(p)</c:v>
                </c:pt>
                <c:pt idx="2">
                  <c:v>2025(p)</c:v>
                </c:pt>
                <c:pt idx="3">
                  <c:v>2026(p)</c:v>
                </c:pt>
                <c:pt idx="4">
                  <c:v>2027(p)</c:v>
                </c:pt>
                <c:pt idx="5">
                  <c:v>2028(p)</c:v>
                </c:pt>
              </c:strCache>
            </c:strRef>
          </c:cat>
          <c:val>
            <c:numRef>
              <c:f>RETRAITE!$B$30:$G$30</c:f>
              <c:numCache>
                <c:formatCode>0.0</c:formatCode>
                <c:ptCount val="6"/>
                <c:pt idx="0">
                  <c:v>1.4448258758342056</c:v>
                </c:pt>
                <c:pt idx="1">
                  <c:v>-0.27602860496118004</c:v>
                </c:pt>
                <c:pt idx="2">
                  <c:v>0.16810769993712421</c:v>
                </c:pt>
                <c:pt idx="3">
                  <c:v>-8.9692502841849056E-2</c:v>
                </c:pt>
                <c:pt idx="4">
                  <c:v>-0.18072324073844839</c:v>
                </c:pt>
                <c:pt idx="5">
                  <c:v>-0.66193958916477391</c:v>
                </c:pt>
              </c:numCache>
            </c:numRef>
          </c:val>
          <c:extLst>
            <c:ext xmlns:c16="http://schemas.microsoft.com/office/drawing/2014/chart" uri="{C3380CC4-5D6E-409C-BE32-E72D297353CC}">
              <c16:uniqueId val="{00000017-2619-4B34-BED4-49F1111611FF}"/>
            </c:ext>
          </c:extLst>
        </c:ser>
        <c:ser>
          <c:idx val="2"/>
          <c:order val="2"/>
          <c:tx>
            <c:v>CSG</c:v>
          </c:tx>
          <c:spPr>
            <a:solidFill>
              <a:schemeClr val="accent1">
                <a:lumMod val="75000"/>
              </a:schemeClr>
            </a:solidFill>
          </c:spPr>
          <c:invertIfNegative val="0"/>
          <c:dPt>
            <c:idx val="2"/>
            <c:invertIfNegative val="0"/>
            <c:bubble3D val="0"/>
            <c:spPr>
              <a:solidFill>
                <a:schemeClr val="accent1">
                  <a:lumMod val="75000"/>
                </a:schemeClr>
              </a:solidFill>
              <a:ln>
                <a:prstDash val="sysDot"/>
              </a:ln>
            </c:spPr>
            <c:extLst>
              <c:ext xmlns:c16="http://schemas.microsoft.com/office/drawing/2014/chart" uri="{C3380CC4-5D6E-409C-BE32-E72D297353CC}">
                <c16:uniqueId val="{00000019-2619-4B34-BED4-49F1111611FF}"/>
              </c:ext>
            </c:extLst>
          </c:dPt>
          <c:dPt>
            <c:idx val="3"/>
            <c:invertIfNegative val="0"/>
            <c:bubble3D val="0"/>
            <c:spPr>
              <a:solidFill>
                <a:schemeClr val="accent1">
                  <a:lumMod val="75000"/>
                </a:schemeClr>
              </a:solidFill>
              <a:ln>
                <a:prstDash val="sysDot"/>
              </a:ln>
            </c:spPr>
            <c:extLst>
              <c:ext xmlns:c16="http://schemas.microsoft.com/office/drawing/2014/chart" uri="{C3380CC4-5D6E-409C-BE32-E72D297353CC}">
                <c16:uniqueId val="{0000001B-2619-4B34-BED4-49F1111611FF}"/>
              </c:ext>
            </c:extLst>
          </c:dPt>
          <c:dPt>
            <c:idx val="4"/>
            <c:invertIfNegative val="0"/>
            <c:bubble3D val="0"/>
            <c:spPr>
              <a:solidFill>
                <a:schemeClr val="accent1">
                  <a:lumMod val="75000"/>
                </a:schemeClr>
              </a:solidFill>
              <a:ln>
                <a:prstDash val="sysDot"/>
              </a:ln>
            </c:spPr>
            <c:extLst>
              <c:ext xmlns:c16="http://schemas.microsoft.com/office/drawing/2014/chart" uri="{C3380CC4-5D6E-409C-BE32-E72D297353CC}">
                <c16:uniqueId val="{0000001D-2619-4B34-BED4-49F1111611FF}"/>
              </c:ext>
            </c:extLst>
          </c:dPt>
          <c:dPt>
            <c:idx val="5"/>
            <c:invertIfNegative val="0"/>
            <c:bubble3D val="0"/>
            <c:spPr>
              <a:solidFill>
                <a:schemeClr val="accent1">
                  <a:lumMod val="75000"/>
                </a:schemeClr>
              </a:solidFill>
              <a:ln>
                <a:prstDash val="sysDot"/>
              </a:ln>
            </c:spPr>
            <c:extLst>
              <c:ext xmlns:c16="http://schemas.microsoft.com/office/drawing/2014/chart" uri="{C3380CC4-5D6E-409C-BE32-E72D297353CC}">
                <c16:uniqueId val="{0000001F-2619-4B34-BED4-49F1111611FF}"/>
              </c:ext>
            </c:extLst>
          </c:dPt>
          <c:dPt>
            <c:idx val="6"/>
            <c:invertIfNegative val="0"/>
            <c:bubble3D val="0"/>
            <c:spPr>
              <a:solidFill>
                <a:schemeClr val="accent1">
                  <a:lumMod val="75000"/>
                </a:schemeClr>
              </a:solidFill>
              <a:ln>
                <a:prstDash val="sysDot"/>
              </a:ln>
            </c:spPr>
            <c:extLst>
              <c:ext xmlns:c16="http://schemas.microsoft.com/office/drawing/2014/chart" uri="{C3380CC4-5D6E-409C-BE32-E72D297353CC}">
                <c16:uniqueId val="{00000021-2619-4B34-BED4-49F1111611FF}"/>
              </c:ext>
            </c:extLst>
          </c:dPt>
          <c:cat>
            <c:strRef>
              <c:f>RETRAITE!$B$27:$G$27</c:f>
              <c:strCache>
                <c:ptCount val="6"/>
                <c:pt idx="0">
                  <c:v>2023</c:v>
                </c:pt>
                <c:pt idx="1">
                  <c:v>2024(p)</c:v>
                </c:pt>
                <c:pt idx="2">
                  <c:v>2025(p)</c:v>
                </c:pt>
                <c:pt idx="3">
                  <c:v>2026(p)</c:v>
                </c:pt>
                <c:pt idx="4">
                  <c:v>2027(p)</c:v>
                </c:pt>
                <c:pt idx="5">
                  <c:v>2028(p)</c:v>
                </c:pt>
              </c:strCache>
            </c:strRef>
          </c:cat>
          <c:val>
            <c:numRef>
              <c:f>RETRAITE!$B$31:$G$31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2619-4B34-BED4-49F1111611FF}"/>
            </c:ext>
          </c:extLst>
        </c:ser>
        <c:ser>
          <c:idx val="3"/>
          <c:order val="3"/>
          <c:tx>
            <c:v>Impôts et taxes affectés</c:v>
          </c:tx>
          <c:spPr>
            <a:pattFill prst="dkVert">
              <a:fgClr>
                <a:schemeClr val="accent1">
                  <a:lumMod val="60000"/>
                  <a:lumOff val="40000"/>
                </a:schemeClr>
              </a:fgClr>
              <a:bgClr>
                <a:schemeClr val="bg1"/>
              </a:bgClr>
            </a:pattFill>
          </c:spPr>
          <c:invertIfNegative val="0"/>
          <c:dPt>
            <c:idx val="2"/>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4-2619-4B34-BED4-49F1111611FF}"/>
              </c:ext>
            </c:extLst>
          </c:dPt>
          <c:dPt>
            <c:idx val="3"/>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6-2619-4B34-BED4-49F1111611FF}"/>
              </c:ext>
            </c:extLst>
          </c:dPt>
          <c:dPt>
            <c:idx val="4"/>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8-2619-4B34-BED4-49F1111611FF}"/>
              </c:ext>
            </c:extLst>
          </c:dPt>
          <c:dPt>
            <c:idx val="5"/>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A-2619-4B34-BED4-49F1111611FF}"/>
              </c:ext>
            </c:extLst>
          </c:dPt>
          <c:dPt>
            <c:idx val="6"/>
            <c:invertIfNegative val="0"/>
            <c:bubble3D val="0"/>
            <c:spPr>
              <a:pattFill prst="dkVert">
                <a:fgClr>
                  <a:schemeClr val="accent1">
                    <a:lumMod val="60000"/>
                    <a:lumOff val="40000"/>
                  </a:schemeClr>
                </a:fgClr>
                <a:bgClr>
                  <a:schemeClr val="bg1"/>
                </a:bgClr>
              </a:pattFill>
              <a:ln>
                <a:prstDash val="sysDot"/>
              </a:ln>
            </c:spPr>
            <c:extLst>
              <c:ext xmlns:c16="http://schemas.microsoft.com/office/drawing/2014/chart" uri="{C3380CC4-5D6E-409C-BE32-E72D297353CC}">
                <c16:uniqueId val="{0000002C-2619-4B34-BED4-49F1111611FF}"/>
              </c:ext>
            </c:extLst>
          </c:dPt>
          <c:cat>
            <c:strRef>
              <c:f>RETRAITE!$B$27:$G$27</c:f>
              <c:strCache>
                <c:ptCount val="6"/>
                <c:pt idx="0">
                  <c:v>2023</c:v>
                </c:pt>
                <c:pt idx="1">
                  <c:v>2024(p)</c:v>
                </c:pt>
                <c:pt idx="2">
                  <c:v>2025(p)</c:v>
                </c:pt>
                <c:pt idx="3">
                  <c:v>2026(p)</c:v>
                </c:pt>
                <c:pt idx="4">
                  <c:v>2027(p)</c:v>
                </c:pt>
                <c:pt idx="5">
                  <c:v>2028(p)</c:v>
                </c:pt>
              </c:strCache>
            </c:strRef>
          </c:cat>
          <c:val>
            <c:numRef>
              <c:f>RETRAITE!$B$32:$G$32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D-2619-4B34-BED4-49F1111611FF}"/>
            </c:ext>
          </c:extLst>
        </c:ser>
        <c:dLbls>
          <c:showLegendKey val="0"/>
          <c:showVal val="0"/>
          <c:showCatName val="0"/>
          <c:showSerName val="0"/>
          <c:showPercent val="0"/>
          <c:showBubbleSize val="0"/>
        </c:dLbls>
        <c:gapWidth val="150"/>
        <c:axId val="445235608"/>
        <c:axId val="445234432"/>
      </c:barChart>
      <c:lineChart>
        <c:grouping val="standard"/>
        <c:varyColors val="0"/>
        <c:ser>
          <c:idx val="5"/>
          <c:order val="4"/>
          <c:tx>
            <c:v>Evolution des recettes totales</c:v>
          </c:tx>
          <c:spPr>
            <a:ln>
              <a:solidFill>
                <a:srgbClr val="C00000"/>
              </a:solidFill>
            </a:ln>
          </c:spPr>
          <c:marker>
            <c:spPr>
              <a:solidFill>
                <a:srgbClr val="C00000"/>
              </a:solidFill>
              <a:ln>
                <a:solidFill>
                  <a:srgbClr val="C00000"/>
                </a:solidFill>
              </a:ln>
            </c:spPr>
          </c:marker>
          <c:dPt>
            <c:idx val="2"/>
            <c:bubble3D val="0"/>
            <c:spPr>
              <a:ln>
                <a:solidFill>
                  <a:srgbClr val="C00000"/>
                </a:solidFill>
                <a:prstDash val="dash"/>
              </a:ln>
            </c:spPr>
            <c:extLst>
              <c:ext xmlns:c16="http://schemas.microsoft.com/office/drawing/2014/chart" uri="{C3380CC4-5D6E-409C-BE32-E72D297353CC}">
                <c16:uniqueId val="{0000002F-2619-4B34-BED4-49F1111611FF}"/>
              </c:ext>
            </c:extLst>
          </c:dPt>
          <c:dPt>
            <c:idx val="3"/>
            <c:bubble3D val="0"/>
            <c:spPr>
              <a:ln>
                <a:solidFill>
                  <a:srgbClr val="C00000"/>
                </a:solidFill>
                <a:prstDash val="dash"/>
              </a:ln>
            </c:spPr>
            <c:extLst>
              <c:ext xmlns:c16="http://schemas.microsoft.com/office/drawing/2014/chart" uri="{C3380CC4-5D6E-409C-BE32-E72D297353CC}">
                <c16:uniqueId val="{00000031-2619-4B34-BED4-49F1111611FF}"/>
              </c:ext>
            </c:extLst>
          </c:dPt>
          <c:dPt>
            <c:idx val="4"/>
            <c:bubble3D val="0"/>
            <c:spPr>
              <a:ln>
                <a:solidFill>
                  <a:srgbClr val="C00000"/>
                </a:solidFill>
                <a:prstDash val="dash"/>
              </a:ln>
            </c:spPr>
            <c:extLst>
              <c:ext xmlns:c16="http://schemas.microsoft.com/office/drawing/2014/chart" uri="{C3380CC4-5D6E-409C-BE32-E72D297353CC}">
                <c16:uniqueId val="{00000033-2619-4B34-BED4-49F1111611FF}"/>
              </c:ext>
            </c:extLst>
          </c:dPt>
          <c:dPt>
            <c:idx val="5"/>
            <c:bubble3D val="0"/>
            <c:spPr>
              <a:ln>
                <a:solidFill>
                  <a:srgbClr val="C00000"/>
                </a:solidFill>
                <a:prstDash val="dash"/>
              </a:ln>
            </c:spPr>
            <c:extLst>
              <c:ext xmlns:c16="http://schemas.microsoft.com/office/drawing/2014/chart" uri="{C3380CC4-5D6E-409C-BE32-E72D297353CC}">
                <c16:uniqueId val="{00000035-2619-4B34-BED4-49F1111611FF}"/>
              </c:ext>
            </c:extLst>
          </c:dPt>
          <c:dLbls>
            <c:dLbl>
              <c:idx val="0"/>
              <c:layout>
                <c:manualLayout>
                  <c:x val="-6.5527227549520561E-2"/>
                  <c:y val="4.31398484480336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2619-4B34-BED4-49F1111611FF}"/>
                </c:ext>
              </c:extLst>
            </c:dLbl>
            <c:dLbl>
              <c:idx val="1"/>
              <c:layout>
                <c:manualLayout>
                  <c:x val="-8.4024000339969401E-2"/>
                  <c:y val="1.148882974560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2619-4B34-BED4-49F1111611FF}"/>
                </c:ext>
              </c:extLst>
            </c:dLbl>
            <c:dLbl>
              <c:idx val="2"/>
              <c:layout>
                <c:manualLayout>
                  <c:x val="-2.3455857722804948E-2"/>
                  <c:y val="6.0121627572688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2619-4B34-BED4-49F1111611FF}"/>
                </c:ext>
              </c:extLst>
            </c:dLbl>
            <c:dLbl>
              <c:idx val="3"/>
              <c:layout>
                <c:manualLayout>
                  <c:x val="-3.3471348625800472E-2"/>
                  <c:y val="6.9404657751114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619-4B34-BED4-49F1111611FF}"/>
                </c:ext>
              </c:extLst>
            </c:dLbl>
            <c:dLbl>
              <c:idx val="4"/>
              <c:layout>
                <c:manualLayout>
                  <c:x val="-3.3488236058754714E-2"/>
                  <c:y val="4.59380307297120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2619-4B34-BED4-49F1111611FF}"/>
                </c:ext>
              </c:extLst>
            </c:dLbl>
            <c:dLbl>
              <c:idx val="5"/>
              <c:layout>
                <c:manualLayout>
                  <c:x val="-2.1583057524822764E-2"/>
                  <c:y val="4.5938030729711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2619-4B34-BED4-49F1111611FF}"/>
                </c:ext>
              </c:extLst>
            </c:dLbl>
            <c:spPr>
              <a:solidFill>
                <a:schemeClr val="accent2">
                  <a:lumMod val="20000"/>
                  <a:lumOff val="80000"/>
                </a:schemeClr>
              </a:solidFill>
            </c:spPr>
            <c:txPr>
              <a:bodyPr/>
              <a:lstStyle/>
              <a:p>
                <a:pPr>
                  <a:defRPr sz="900" b="1" i="1">
                    <a:solidFill>
                      <a:srgbClr val="C00000"/>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6"/>
              <c:pt idx="0">
                <c:v>0</c:v>
              </c:pt>
              <c:pt idx="1">
                <c:v>0</c:v>
              </c:pt>
              <c:pt idx="2">
                <c:v>0</c:v>
              </c:pt>
              <c:pt idx="3">
                <c:v>0</c:v>
              </c:pt>
              <c:pt idx="4">
                <c:v>0</c:v>
              </c:pt>
              <c:pt idx="5">
                <c:v>0</c:v>
              </c:pt>
            </c:numLit>
          </c:cat>
          <c:val>
            <c:numRef>
              <c:f>RETRAITE!$B$17:$G$17</c:f>
              <c:numCache>
                <c:formatCode>\+0.0%;\-0.0%;General</c:formatCode>
                <c:ptCount val="6"/>
                <c:pt idx="0">
                  <c:v>4.9445349831012342E-2</c:v>
                </c:pt>
                <c:pt idx="1">
                  <c:v>5.2617182435414689E-2</c:v>
                </c:pt>
                <c:pt idx="2">
                  <c:v>3.596495261476651E-2</c:v>
                </c:pt>
                <c:pt idx="3">
                  <c:v>3.1627284472651285E-2</c:v>
                </c:pt>
                <c:pt idx="4">
                  <c:v>3.4434828964822639E-2</c:v>
                </c:pt>
                <c:pt idx="5">
                  <c:v>3.0492512522646509E-2</c:v>
                </c:pt>
              </c:numCache>
            </c:numRef>
          </c:val>
          <c:smooth val="0"/>
          <c:extLst>
            <c:ext xmlns:c16="http://schemas.microsoft.com/office/drawing/2014/chart" uri="{C3380CC4-5D6E-409C-BE32-E72D297353CC}">
              <c16:uniqueId val="{00000038-2619-4B34-BED4-49F1111611FF}"/>
            </c:ext>
          </c:extLst>
        </c:ser>
        <c:dLbls>
          <c:showLegendKey val="0"/>
          <c:showVal val="0"/>
          <c:showCatName val="0"/>
          <c:showSerName val="0"/>
          <c:showPercent val="0"/>
          <c:showBubbleSize val="0"/>
        </c:dLbls>
        <c:marker val="1"/>
        <c:smooth val="0"/>
        <c:axId val="445236000"/>
        <c:axId val="445230512"/>
      </c:lineChart>
      <c:catAx>
        <c:axId val="445235608"/>
        <c:scaling>
          <c:orientation val="minMax"/>
        </c:scaling>
        <c:delete val="0"/>
        <c:axPos val="b"/>
        <c:majorGridlines/>
        <c:numFmt formatCode="General" sourceLinked="1"/>
        <c:majorTickMark val="out"/>
        <c:minorTickMark val="none"/>
        <c:tickLblPos val="high"/>
        <c:txPr>
          <a:bodyPr/>
          <a:lstStyle/>
          <a:p>
            <a:pPr>
              <a:defRPr sz="1000" b="1">
                <a:solidFill>
                  <a:schemeClr val="accent1">
                    <a:lumMod val="75000"/>
                  </a:schemeClr>
                </a:solidFill>
              </a:defRPr>
            </a:pPr>
            <a:endParaRPr lang="fr-FR"/>
          </a:p>
        </c:txPr>
        <c:crossAx val="445234432"/>
        <c:crosses val="autoZero"/>
        <c:auto val="1"/>
        <c:lblAlgn val="ctr"/>
        <c:lblOffset val="100"/>
        <c:noMultiLvlLbl val="0"/>
      </c:catAx>
      <c:valAx>
        <c:axId val="445234432"/>
        <c:scaling>
          <c:orientation val="minMax"/>
          <c:max val="4"/>
          <c:min val="-2"/>
        </c:scaling>
        <c:delete val="0"/>
        <c:axPos val="l"/>
        <c:majorGridlines/>
        <c:title>
          <c:tx>
            <c:rich>
              <a:bodyPr rot="-5400000" vert="horz"/>
              <a:lstStyle/>
              <a:p>
                <a:pPr>
                  <a:defRPr sz="800" i="1">
                    <a:solidFill>
                      <a:schemeClr val="accent1">
                        <a:lumMod val="75000"/>
                      </a:schemeClr>
                    </a:solidFill>
                  </a:defRPr>
                </a:pPr>
                <a:r>
                  <a:rPr lang="fr-FR" sz="800" i="1">
                    <a:solidFill>
                      <a:schemeClr val="accent1">
                        <a:lumMod val="75000"/>
                      </a:schemeClr>
                    </a:solidFill>
                  </a:rPr>
                  <a:t>Contribution à l'évolution (en points)</a:t>
                </a:r>
              </a:p>
            </c:rich>
          </c:tx>
          <c:layout>
            <c:manualLayout>
              <c:xMode val="edge"/>
              <c:yMode val="edge"/>
              <c:x val="3.3078880407124679E-2"/>
              <c:y val="7.0434353600536778E-2"/>
            </c:manualLayout>
          </c:layout>
          <c:overlay val="0"/>
        </c:title>
        <c:numFmt formatCode="#,##0.0" sourceLinked="0"/>
        <c:majorTickMark val="out"/>
        <c:minorTickMark val="none"/>
        <c:tickLblPos val="nextTo"/>
        <c:txPr>
          <a:bodyPr/>
          <a:lstStyle/>
          <a:p>
            <a:pPr>
              <a:defRPr sz="900">
                <a:solidFill>
                  <a:schemeClr val="accent1">
                    <a:lumMod val="75000"/>
                  </a:schemeClr>
                </a:solidFill>
              </a:defRPr>
            </a:pPr>
            <a:endParaRPr lang="fr-FR"/>
          </a:p>
        </c:txPr>
        <c:crossAx val="445235608"/>
        <c:crosses val="autoZero"/>
        <c:crossBetween val="between"/>
        <c:majorUnit val="2"/>
      </c:valAx>
      <c:valAx>
        <c:axId val="445230512"/>
        <c:scaling>
          <c:orientation val="minMax"/>
          <c:max val="8.0000000000000016E-2"/>
          <c:min val="-2.0000000000000004E-2"/>
        </c:scaling>
        <c:delete val="0"/>
        <c:axPos val="r"/>
        <c:title>
          <c:tx>
            <c:rich>
              <a:bodyPr rot="-5400000" vert="horz"/>
              <a:lstStyle/>
              <a:p>
                <a:pPr>
                  <a:defRPr sz="800">
                    <a:solidFill>
                      <a:srgbClr val="C00000"/>
                    </a:solidFill>
                  </a:defRPr>
                </a:pPr>
                <a:r>
                  <a:rPr lang="fr-FR" sz="800">
                    <a:solidFill>
                      <a:srgbClr val="C00000"/>
                    </a:solidFill>
                  </a:rPr>
                  <a:t>Evolution en %</a:t>
                </a:r>
              </a:p>
            </c:rich>
          </c:tx>
          <c:layout>
            <c:manualLayout>
              <c:xMode val="edge"/>
              <c:yMode val="edge"/>
              <c:x val="0.93526634577810797"/>
              <c:y val="0.53376174657818432"/>
            </c:manualLayout>
          </c:layout>
          <c:overlay val="0"/>
        </c:title>
        <c:numFmt formatCode="\+0.0%;\-0.0%;General" sourceLinked="1"/>
        <c:majorTickMark val="out"/>
        <c:minorTickMark val="none"/>
        <c:tickLblPos val="nextTo"/>
        <c:txPr>
          <a:bodyPr/>
          <a:lstStyle/>
          <a:p>
            <a:pPr>
              <a:defRPr sz="900">
                <a:solidFill>
                  <a:srgbClr val="C00000"/>
                </a:solidFill>
              </a:defRPr>
            </a:pPr>
            <a:endParaRPr lang="fr-FR"/>
          </a:p>
        </c:txPr>
        <c:crossAx val="445236000"/>
        <c:crosses val="max"/>
        <c:crossBetween val="between"/>
        <c:majorUnit val="2.0000000000000004E-2"/>
      </c:valAx>
      <c:catAx>
        <c:axId val="445236000"/>
        <c:scaling>
          <c:orientation val="minMax"/>
        </c:scaling>
        <c:delete val="1"/>
        <c:axPos val="b"/>
        <c:numFmt formatCode="General" sourceLinked="1"/>
        <c:majorTickMark val="out"/>
        <c:minorTickMark val="none"/>
        <c:tickLblPos val="nextTo"/>
        <c:crossAx val="445230512"/>
        <c:crosses val="autoZero"/>
        <c:auto val="1"/>
        <c:lblAlgn val="ctr"/>
        <c:lblOffset val="100"/>
        <c:noMultiLvlLbl val="0"/>
      </c:catAx>
    </c:plotArea>
    <c:legend>
      <c:legendPos val="b"/>
      <c:legendEntry>
        <c:idx val="4"/>
        <c:txPr>
          <a:bodyPr/>
          <a:lstStyle/>
          <a:p>
            <a:pPr>
              <a:defRPr sz="800">
                <a:solidFill>
                  <a:srgbClr val="C00000"/>
                </a:solidFill>
              </a:defRPr>
            </a:pPr>
            <a:endParaRPr lang="fr-FR"/>
          </a:p>
        </c:txPr>
      </c:legendEntry>
      <c:layout>
        <c:manualLayout>
          <c:xMode val="edge"/>
          <c:yMode val="edge"/>
          <c:x val="2.4631327085108221E-2"/>
          <c:y val="0.85908632556221376"/>
          <c:w val="0.96461623654891648"/>
          <c:h val="0.13359194455690537"/>
        </c:manualLayout>
      </c:layout>
      <c:overlay val="0"/>
      <c:txPr>
        <a:bodyPr/>
        <a:lstStyle/>
        <a:p>
          <a:pPr>
            <a:defRPr sz="800">
              <a:solidFill>
                <a:schemeClr val="accent1">
                  <a:lumMod val="75000"/>
                </a:schemeClr>
              </a:solidFill>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30505287178612"/>
          <c:y val="0.10799059896251624"/>
          <c:w val="0.77403683083625263"/>
          <c:h val="0.69373880395783838"/>
        </c:manualLayout>
      </c:layout>
      <c:barChart>
        <c:barDir val="col"/>
        <c:grouping val="clustered"/>
        <c:varyColors val="0"/>
        <c:ser>
          <c:idx val="0"/>
          <c:order val="0"/>
          <c:tx>
            <c:v>Prestations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00-A52C-475C-B692-70EF6CCBDDA4}"/>
              </c:ext>
            </c:extLst>
          </c:dPt>
          <c:dPt>
            <c:idx val="1"/>
            <c:invertIfNegative val="0"/>
            <c:bubble3D val="0"/>
            <c:extLst>
              <c:ext xmlns:c16="http://schemas.microsoft.com/office/drawing/2014/chart" uri="{C3380CC4-5D6E-409C-BE32-E72D297353CC}">
                <c16:uniqueId val="{00000001-A52C-475C-B692-70EF6CCBDDA4}"/>
              </c:ext>
            </c:extLst>
          </c:dPt>
          <c:dPt>
            <c:idx val="2"/>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A52C-475C-B692-70EF6CCBDDA4}"/>
              </c:ext>
            </c:extLst>
          </c:dPt>
          <c:dPt>
            <c:idx val="3"/>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A52C-475C-B692-70EF6CCBDDA4}"/>
              </c:ext>
            </c:extLst>
          </c:dPt>
          <c:dPt>
            <c:idx val="4"/>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A52C-475C-B692-70EF6CCBDDA4}"/>
              </c:ext>
            </c:extLst>
          </c:dPt>
          <c:dPt>
            <c:idx val="5"/>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A52C-475C-B692-70EF6CCBDDA4}"/>
              </c:ext>
            </c:extLst>
          </c:dPt>
          <c:dPt>
            <c:idx val="6"/>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A52C-475C-B692-70EF6CCBDDA4}"/>
              </c:ext>
            </c:extLst>
          </c:dPt>
          <c:cat>
            <c:strRef>
              <c:f>RETRAITE!$B$27:$G$27</c:f>
              <c:strCache>
                <c:ptCount val="6"/>
                <c:pt idx="0">
                  <c:v>2023</c:v>
                </c:pt>
                <c:pt idx="1">
                  <c:v>2024(p)</c:v>
                </c:pt>
                <c:pt idx="2">
                  <c:v>2025(p)</c:v>
                </c:pt>
                <c:pt idx="3">
                  <c:v>2026(p)</c:v>
                </c:pt>
                <c:pt idx="4">
                  <c:v>2027(p)</c:v>
                </c:pt>
                <c:pt idx="5">
                  <c:v>2028(p)</c:v>
                </c:pt>
              </c:strCache>
            </c:strRef>
          </c:cat>
          <c:val>
            <c:numRef>
              <c:f>'TCDC SA (Charges)'!$B$53:$G$53</c:f>
              <c:numCache>
                <c:formatCode>0.0</c:formatCode>
                <c:ptCount val="6"/>
                <c:pt idx="0">
                  <c:v>2.665546622535846</c:v>
                </c:pt>
                <c:pt idx="1">
                  <c:v>3.9230622510125426</c:v>
                </c:pt>
                <c:pt idx="2">
                  <c:v>3.1040138715996255</c:v>
                </c:pt>
                <c:pt idx="3">
                  <c:v>3.0618050296078207</c:v>
                </c:pt>
                <c:pt idx="4">
                  <c:v>3.0657308343634662</c:v>
                </c:pt>
                <c:pt idx="5">
                  <c:v>2.9041826457911748</c:v>
                </c:pt>
              </c:numCache>
            </c:numRef>
          </c:val>
          <c:extLst>
            <c:ext xmlns:c16="http://schemas.microsoft.com/office/drawing/2014/chart" uri="{C3380CC4-5D6E-409C-BE32-E72D297353CC}">
              <c16:uniqueId val="{0000000C-A52C-475C-B692-70EF6CCBDDA4}"/>
            </c:ext>
          </c:extLst>
        </c:ser>
        <c:ser>
          <c:idx val="1"/>
          <c:order val="1"/>
          <c:tx>
            <c:v>Charges techniques</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0E-A52C-475C-B692-70EF6CCBDDA4}"/>
              </c:ext>
            </c:extLst>
          </c:dPt>
          <c:dPt>
            <c:idx val="3"/>
            <c:invertIfNegative val="0"/>
            <c:bubble3D val="0"/>
            <c:extLst>
              <c:ext xmlns:c16="http://schemas.microsoft.com/office/drawing/2014/chart" uri="{C3380CC4-5D6E-409C-BE32-E72D297353CC}">
                <c16:uniqueId val="{00000010-A52C-475C-B692-70EF6CCBDDA4}"/>
              </c:ext>
            </c:extLst>
          </c:dPt>
          <c:dPt>
            <c:idx val="4"/>
            <c:invertIfNegative val="0"/>
            <c:bubble3D val="0"/>
            <c:extLst>
              <c:ext xmlns:c16="http://schemas.microsoft.com/office/drawing/2014/chart" uri="{C3380CC4-5D6E-409C-BE32-E72D297353CC}">
                <c16:uniqueId val="{00000012-A52C-475C-B692-70EF6CCBDDA4}"/>
              </c:ext>
            </c:extLst>
          </c:dPt>
          <c:dPt>
            <c:idx val="5"/>
            <c:invertIfNegative val="0"/>
            <c:bubble3D val="0"/>
            <c:extLst>
              <c:ext xmlns:c16="http://schemas.microsoft.com/office/drawing/2014/chart" uri="{C3380CC4-5D6E-409C-BE32-E72D297353CC}">
                <c16:uniqueId val="{00000014-A52C-475C-B692-70EF6CCBDDA4}"/>
              </c:ext>
            </c:extLst>
          </c:dPt>
          <c:dPt>
            <c:idx val="6"/>
            <c:invertIfNegative val="0"/>
            <c:bubble3D val="0"/>
            <c:extLst>
              <c:ext xmlns:c16="http://schemas.microsoft.com/office/drawing/2014/chart" uri="{C3380CC4-5D6E-409C-BE32-E72D297353CC}">
                <c16:uniqueId val="{00000016-A52C-475C-B692-70EF6CCBDDA4}"/>
              </c:ext>
            </c:extLst>
          </c:dPt>
          <c:cat>
            <c:strRef>
              <c:f>RETRAITE!$B$27:$G$27</c:f>
              <c:strCache>
                <c:ptCount val="6"/>
                <c:pt idx="0">
                  <c:v>2023</c:v>
                </c:pt>
                <c:pt idx="1">
                  <c:v>2024(p)</c:v>
                </c:pt>
                <c:pt idx="2">
                  <c:v>2025(p)</c:v>
                </c:pt>
                <c:pt idx="3">
                  <c:v>2026(p)</c:v>
                </c:pt>
                <c:pt idx="4">
                  <c:v>2027(p)</c:v>
                </c:pt>
                <c:pt idx="5">
                  <c:v>2028(p)</c:v>
                </c:pt>
              </c:strCache>
            </c:strRef>
          </c:cat>
          <c:val>
            <c:numRef>
              <c:f>'TCDC SA (Charges)'!$B$54:$G$54</c:f>
              <c:numCache>
                <c:formatCode>0.0</c:formatCode>
                <c:ptCount val="6"/>
                <c:pt idx="0">
                  <c:v>-0.4561945003604238</c:v>
                </c:pt>
                <c:pt idx="1">
                  <c:v>-9.194869493070193E-2</c:v>
                </c:pt>
                <c:pt idx="2">
                  <c:v>5.1265044929306738E-2</c:v>
                </c:pt>
                <c:pt idx="3">
                  <c:v>9.8300584320186374E-2</c:v>
                </c:pt>
                <c:pt idx="4">
                  <c:v>0.14315607646342662</c:v>
                </c:pt>
                <c:pt idx="5">
                  <c:v>0.13107617945624411</c:v>
                </c:pt>
              </c:numCache>
            </c:numRef>
          </c:val>
          <c:extLst>
            <c:ext xmlns:c16="http://schemas.microsoft.com/office/drawing/2014/chart" uri="{C3380CC4-5D6E-409C-BE32-E72D297353CC}">
              <c16:uniqueId val="{00000017-A52C-475C-B692-70EF6CCBDDA4}"/>
            </c:ext>
          </c:extLst>
        </c:ser>
        <c:ser>
          <c:idx val="2"/>
          <c:order val="2"/>
          <c:tx>
            <c:v>Charges financières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19-A52C-475C-B692-70EF6CCBDDA4}"/>
              </c:ext>
            </c:extLst>
          </c:dPt>
          <c:dPt>
            <c:idx val="3"/>
            <c:invertIfNegative val="0"/>
            <c:bubble3D val="0"/>
            <c:extLst>
              <c:ext xmlns:c16="http://schemas.microsoft.com/office/drawing/2014/chart" uri="{C3380CC4-5D6E-409C-BE32-E72D297353CC}">
                <c16:uniqueId val="{0000001B-A52C-475C-B692-70EF6CCBDDA4}"/>
              </c:ext>
            </c:extLst>
          </c:dPt>
          <c:dPt>
            <c:idx val="4"/>
            <c:invertIfNegative val="0"/>
            <c:bubble3D val="0"/>
            <c:extLst>
              <c:ext xmlns:c16="http://schemas.microsoft.com/office/drawing/2014/chart" uri="{C3380CC4-5D6E-409C-BE32-E72D297353CC}">
                <c16:uniqueId val="{0000001D-A52C-475C-B692-70EF6CCBDDA4}"/>
              </c:ext>
            </c:extLst>
          </c:dPt>
          <c:dPt>
            <c:idx val="5"/>
            <c:invertIfNegative val="0"/>
            <c:bubble3D val="0"/>
            <c:extLst>
              <c:ext xmlns:c16="http://schemas.microsoft.com/office/drawing/2014/chart" uri="{C3380CC4-5D6E-409C-BE32-E72D297353CC}">
                <c16:uniqueId val="{0000001F-A52C-475C-B692-70EF6CCBDDA4}"/>
              </c:ext>
            </c:extLst>
          </c:dPt>
          <c:dPt>
            <c:idx val="6"/>
            <c:invertIfNegative val="0"/>
            <c:bubble3D val="0"/>
            <c:extLst>
              <c:ext xmlns:c16="http://schemas.microsoft.com/office/drawing/2014/chart" uri="{C3380CC4-5D6E-409C-BE32-E72D297353CC}">
                <c16:uniqueId val="{00000021-A52C-475C-B692-70EF6CCBDDA4}"/>
              </c:ext>
            </c:extLst>
          </c:dPt>
          <c:cat>
            <c:strRef>
              <c:f>RETRAITE!$B$27:$G$27</c:f>
              <c:strCache>
                <c:ptCount val="6"/>
                <c:pt idx="0">
                  <c:v>2023</c:v>
                </c:pt>
                <c:pt idx="1">
                  <c:v>2024(p)</c:v>
                </c:pt>
                <c:pt idx="2">
                  <c:v>2025(p)</c:v>
                </c:pt>
                <c:pt idx="3">
                  <c:v>2026(p)</c:v>
                </c:pt>
                <c:pt idx="4">
                  <c:v>2027(p)</c:v>
                </c:pt>
                <c:pt idx="5">
                  <c:v>2028(p)</c:v>
                </c:pt>
              </c:strCache>
            </c:strRef>
          </c:cat>
          <c:val>
            <c:numRef>
              <c:f>'TCDC SA (Charges)'!$B$55:$G$55</c:f>
              <c:numCache>
                <c:formatCode>0.0</c:formatCode>
                <c:ptCount val="6"/>
                <c:pt idx="0">
                  <c:v>8.3231344400360539E-3</c:v>
                </c:pt>
                <c:pt idx="1">
                  <c:v>-2.4742796135962763E-4</c:v>
                </c:pt>
                <c:pt idx="2">
                  <c:v>4.5718808722631795E-5</c:v>
                </c:pt>
                <c:pt idx="3">
                  <c:v>4.4900851463128412E-5</c:v>
                </c:pt>
                <c:pt idx="4">
                  <c:v>4.4045794269054637E-5</c:v>
                </c:pt>
                <c:pt idx="5">
                  <c:v>4.3246055279257021E-5</c:v>
                </c:pt>
              </c:numCache>
            </c:numRef>
          </c:val>
          <c:extLst>
            <c:ext xmlns:c16="http://schemas.microsoft.com/office/drawing/2014/chart" uri="{C3380CC4-5D6E-409C-BE32-E72D297353CC}">
              <c16:uniqueId val="{00000022-A52C-475C-B692-70EF6CCBDDA4}"/>
            </c:ext>
          </c:extLst>
        </c:ser>
        <c:ser>
          <c:idx val="3"/>
          <c:order val="3"/>
          <c:tx>
            <c:v>Charges exceptionnelles</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24-A52C-475C-B692-70EF6CCBDDA4}"/>
              </c:ext>
            </c:extLst>
          </c:dPt>
          <c:dPt>
            <c:idx val="3"/>
            <c:invertIfNegative val="0"/>
            <c:bubble3D val="0"/>
            <c:extLst>
              <c:ext xmlns:c16="http://schemas.microsoft.com/office/drawing/2014/chart" uri="{C3380CC4-5D6E-409C-BE32-E72D297353CC}">
                <c16:uniqueId val="{00000026-A52C-475C-B692-70EF6CCBDDA4}"/>
              </c:ext>
            </c:extLst>
          </c:dPt>
          <c:dPt>
            <c:idx val="4"/>
            <c:invertIfNegative val="0"/>
            <c:bubble3D val="0"/>
            <c:extLst>
              <c:ext xmlns:c16="http://schemas.microsoft.com/office/drawing/2014/chart" uri="{C3380CC4-5D6E-409C-BE32-E72D297353CC}">
                <c16:uniqueId val="{00000028-A52C-475C-B692-70EF6CCBDDA4}"/>
              </c:ext>
            </c:extLst>
          </c:dPt>
          <c:dPt>
            <c:idx val="5"/>
            <c:invertIfNegative val="0"/>
            <c:bubble3D val="0"/>
            <c:extLst>
              <c:ext xmlns:c16="http://schemas.microsoft.com/office/drawing/2014/chart" uri="{C3380CC4-5D6E-409C-BE32-E72D297353CC}">
                <c16:uniqueId val="{0000002A-A52C-475C-B692-70EF6CCBDDA4}"/>
              </c:ext>
            </c:extLst>
          </c:dPt>
          <c:dPt>
            <c:idx val="6"/>
            <c:invertIfNegative val="0"/>
            <c:bubble3D val="0"/>
            <c:extLst>
              <c:ext xmlns:c16="http://schemas.microsoft.com/office/drawing/2014/chart" uri="{C3380CC4-5D6E-409C-BE32-E72D297353CC}">
                <c16:uniqueId val="{0000002C-A52C-475C-B692-70EF6CCBDDA4}"/>
              </c:ext>
            </c:extLst>
          </c:dPt>
          <c:cat>
            <c:strRef>
              <c:f>RETRAITE!$B$27:$G$27</c:f>
              <c:strCache>
                <c:ptCount val="6"/>
                <c:pt idx="0">
                  <c:v>2023</c:v>
                </c:pt>
                <c:pt idx="1">
                  <c:v>2024(p)</c:v>
                </c:pt>
                <c:pt idx="2">
                  <c:v>2025(p)</c:v>
                </c:pt>
                <c:pt idx="3">
                  <c:v>2026(p)</c:v>
                </c:pt>
                <c:pt idx="4">
                  <c:v>2027(p)</c:v>
                </c:pt>
                <c:pt idx="5">
                  <c:v>2028(p)</c:v>
                </c:pt>
              </c:strCache>
            </c:strRef>
          </c:cat>
          <c:val>
            <c:numRef>
              <c:f>'TCDC SA (Charges)'!$B$56:$G$56</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D-A52C-475C-B692-70EF6CCBDDA4}"/>
            </c:ext>
          </c:extLst>
        </c:ser>
        <c:ser>
          <c:idx val="4"/>
          <c:order val="4"/>
          <c:tx>
            <c:v>Dotations aux provisions</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2F-A52C-475C-B692-70EF6CCBDDA4}"/>
              </c:ext>
            </c:extLst>
          </c:dPt>
          <c:dPt>
            <c:idx val="2"/>
            <c:invertIfNegative val="0"/>
            <c:bubble3D val="0"/>
            <c:extLst>
              <c:ext xmlns:c16="http://schemas.microsoft.com/office/drawing/2014/chart" uri="{C3380CC4-5D6E-409C-BE32-E72D297353CC}">
                <c16:uniqueId val="{00000031-A52C-475C-B692-70EF6CCBDDA4}"/>
              </c:ext>
            </c:extLst>
          </c:dPt>
          <c:dPt>
            <c:idx val="3"/>
            <c:invertIfNegative val="0"/>
            <c:bubble3D val="0"/>
            <c:extLst>
              <c:ext xmlns:c16="http://schemas.microsoft.com/office/drawing/2014/chart" uri="{C3380CC4-5D6E-409C-BE32-E72D297353CC}">
                <c16:uniqueId val="{00000033-A52C-475C-B692-70EF6CCBDDA4}"/>
              </c:ext>
            </c:extLst>
          </c:dPt>
          <c:dPt>
            <c:idx val="4"/>
            <c:invertIfNegative val="0"/>
            <c:bubble3D val="0"/>
            <c:extLst>
              <c:ext xmlns:c16="http://schemas.microsoft.com/office/drawing/2014/chart" uri="{C3380CC4-5D6E-409C-BE32-E72D297353CC}">
                <c16:uniqueId val="{00000035-A52C-475C-B692-70EF6CCBDDA4}"/>
              </c:ext>
            </c:extLst>
          </c:dPt>
          <c:dPt>
            <c:idx val="5"/>
            <c:invertIfNegative val="0"/>
            <c:bubble3D val="0"/>
            <c:extLst>
              <c:ext xmlns:c16="http://schemas.microsoft.com/office/drawing/2014/chart" uri="{C3380CC4-5D6E-409C-BE32-E72D297353CC}">
                <c16:uniqueId val="{00000037-A52C-475C-B692-70EF6CCBDDA4}"/>
              </c:ext>
            </c:extLst>
          </c:dPt>
          <c:dPt>
            <c:idx val="6"/>
            <c:invertIfNegative val="0"/>
            <c:bubble3D val="0"/>
            <c:extLst>
              <c:ext xmlns:c16="http://schemas.microsoft.com/office/drawing/2014/chart" uri="{C3380CC4-5D6E-409C-BE32-E72D297353CC}">
                <c16:uniqueId val="{00000039-A52C-475C-B692-70EF6CCBDDA4}"/>
              </c:ext>
            </c:extLst>
          </c:dPt>
          <c:cat>
            <c:strRef>
              <c:f>RETRAITE!$B$27:$G$27</c:f>
              <c:strCache>
                <c:ptCount val="6"/>
                <c:pt idx="0">
                  <c:v>2023</c:v>
                </c:pt>
                <c:pt idx="1">
                  <c:v>2024(p)</c:v>
                </c:pt>
                <c:pt idx="2">
                  <c:v>2025(p)</c:v>
                </c:pt>
                <c:pt idx="3">
                  <c:v>2026(p)</c:v>
                </c:pt>
                <c:pt idx="4">
                  <c:v>2027(p)</c:v>
                </c:pt>
                <c:pt idx="5">
                  <c:v>2028(p)</c:v>
                </c:pt>
              </c:strCache>
            </c:strRef>
          </c:cat>
          <c:val>
            <c:numRef>
              <c:f>'TCDC SA (Charges)'!$B$57:$G$57</c:f>
              <c:numCache>
                <c:formatCode>0.0</c:formatCode>
                <c:ptCount val="6"/>
                <c:pt idx="0">
                  <c:v>-4.1693311471185997E-2</c:v>
                </c:pt>
                <c:pt idx="1">
                  <c:v>0.16136259713890053</c:v>
                </c:pt>
                <c:pt idx="2">
                  <c:v>0.13865591940926675</c:v>
                </c:pt>
                <c:pt idx="3">
                  <c:v>0.14506779557406602</c:v>
                </c:pt>
                <c:pt idx="4">
                  <c:v>0.14062876235711924</c:v>
                </c:pt>
                <c:pt idx="5">
                  <c:v>0.14017836727585911</c:v>
                </c:pt>
              </c:numCache>
            </c:numRef>
          </c:val>
          <c:extLst>
            <c:ext xmlns:c16="http://schemas.microsoft.com/office/drawing/2014/chart" uri="{C3380CC4-5D6E-409C-BE32-E72D297353CC}">
              <c16:uniqueId val="{0000003A-A52C-475C-B692-70EF6CCBDDA4}"/>
            </c:ext>
          </c:extLst>
        </c:ser>
        <c:ser>
          <c:idx val="6"/>
          <c:order val="5"/>
          <c:tx>
            <c:v>Charges de gestion courante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RETRAITE!$B$27:$G$27</c:f>
              <c:strCache>
                <c:ptCount val="6"/>
                <c:pt idx="0">
                  <c:v>2023</c:v>
                </c:pt>
                <c:pt idx="1">
                  <c:v>2024(p)</c:v>
                </c:pt>
                <c:pt idx="2">
                  <c:v>2025(p)</c:v>
                </c:pt>
                <c:pt idx="3">
                  <c:v>2026(p)</c:v>
                </c:pt>
                <c:pt idx="4">
                  <c:v>2027(p)</c:v>
                </c:pt>
                <c:pt idx="5">
                  <c:v>2028(p)</c:v>
                </c:pt>
              </c:strCache>
            </c:strRef>
          </c:cat>
          <c:val>
            <c:numRef>
              <c:f>'TCDC SA (Charges)'!$B$58:$G$58</c:f>
              <c:numCache>
                <c:formatCode>0.0</c:formatCode>
                <c:ptCount val="6"/>
                <c:pt idx="0">
                  <c:v>0.25191537689778548</c:v>
                </c:pt>
                <c:pt idx="1">
                  <c:v>4.3122125153701577E-2</c:v>
                </c:pt>
                <c:pt idx="2">
                  <c:v>4.8587288624147226E-2</c:v>
                </c:pt>
                <c:pt idx="3">
                  <c:v>4.7688947616608822E-2</c:v>
                </c:pt>
                <c:pt idx="4">
                  <c:v>4.6743084809565669E-2</c:v>
                </c:pt>
                <c:pt idx="5">
                  <c:v>4.5891517793759523E-2</c:v>
                </c:pt>
              </c:numCache>
            </c:numRef>
          </c:val>
          <c:extLst>
            <c:ext xmlns:c16="http://schemas.microsoft.com/office/drawing/2014/chart" uri="{C3380CC4-5D6E-409C-BE32-E72D297353CC}">
              <c16:uniqueId val="{0000003B-A52C-475C-B692-70EF6CCBDDA4}"/>
            </c:ext>
          </c:extLst>
        </c:ser>
        <c:dLbls>
          <c:showLegendKey val="0"/>
          <c:showVal val="0"/>
          <c:showCatName val="0"/>
          <c:showSerName val="0"/>
          <c:showPercent val="0"/>
          <c:showBubbleSize val="0"/>
        </c:dLbls>
        <c:gapWidth val="137"/>
        <c:axId val="445231688"/>
        <c:axId val="445236392"/>
      </c:barChart>
      <c:lineChart>
        <c:grouping val="standard"/>
        <c:varyColors val="0"/>
        <c:ser>
          <c:idx val="5"/>
          <c:order val="6"/>
          <c:tx>
            <c:v>Evolution des dépenses totales</c:v>
          </c:tx>
          <c:spPr>
            <a:ln w="31750"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2"/>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6"/>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D-A52C-475C-B692-70EF6CCBDDA4}"/>
              </c:ext>
            </c:extLst>
          </c:dPt>
          <c:dPt>
            <c:idx val="3"/>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6"/>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F-A52C-475C-B692-70EF6CCBDDA4}"/>
              </c:ext>
            </c:extLst>
          </c:dPt>
          <c:dPt>
            <c:idx val="4"/>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6"/>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41-A52C-475C-B692-70EF6CCBDDA4}"/>
              </c:ext>
            </c:extLst>
          </c:dPt>
          <c:dPt>
            <c:idx val="5"/>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6"/>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43-A52C-475C-B692-70EF6CCBDDA4}"/>
              </c:ext>
            </c:extLst>
          </c:dPt>
          <c:dLbls>
            <c:dLbl>
              <c:idx val="0"/>
              <c:layout>
                <c:manualLayout>
                  <c:x val="8.1957764758078221E-3"/>
                  <c:y val="7.022629182783520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A52C-475C-B692-70EF6CCBDDA4}"/>
                </c:ext>
              </c:extLst>
            </c:dLbl>
            <c:dLbl>
              <c:idx val="1"/>
              <c:layout>
                <c:manualLayout>
                  <c:x val="-3.5577448553527929E-2"/>
                  <c:y val="-6.07458313026186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A52C-475C-B692-70EF6CCBDDA4}"/>
                </c:ext>
              </c:extLst>
            </c:dLbl>
            <c:dLbl>
              <c:idx val="2"/>
              <c:layout>
                <c:manualLayout>
                  <c:x val="-4.6625949007558891E-2"/>
                  <c:y val="-7.5318631136535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A52C-475C-B692-70EF6CCBDDA4}"/>
                </c:ext>
              </c:extLst>
            </c:dLbl>
            <c:dLbl>
              <c:idx val="3"/>
              <c:layout>
                <c:manualLayout>
                  <c:x val="-3.3471348625800472E-2"/>
                  <c:y val="6.9404657751114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A52C-475C-B692-70EF6CCBDDA4}"/>
                </c:ext>
              </c:extLst>
            </c:dLbl>
            <c:dLbl>
              <c:idx val="4"/>
              <c:layout>
                <c:manualLayout>
                  <c:x val="-3.3488236058754714E-2"/>
                  <c:y val="4.59380307297120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A52C-475C-B692-70EF6CCBDDA4}"/>
                </c:ext>
              </c:extLst>
            </c:dLbl>
            <c:dLbl>
              <c:idx val="5"/>
              <c:layout>
                <c:manualLayout>
                  <c:x val="-2.1583057524822764E-2"/>
                  <c:y val="4.5938030729711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A52C-475C-B692-70EF6CCBDD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6"/>
              <c:pt idx="0">
                <c:v>0</c:v>
              </c:pt>
              <c:pt idx="1">
                <c:v>0</c:v>
              </c:pt>
              <c:pt idx="2">
                <c:v>0</c:v>
              </c:pt>
              <c:pt idx="3">
                <c:v>0</c:v>
              </c:pt>
              <c:pt idx="4">
                <c:v>0</c:v>
              </c:pt>
              <c:pt idx="5">
                <c:v>0</c:v>
              </c:pt>
            </c:numLit>
          </c:cat>
          <c:val>
            <c:numRef>
              <c:f>'TCDC SA (Charges)'!$J$49:$O$49</c:f>
              <c:numCache>
                <c:formatCode>0.0%</c:formatCode>
                <c:ptCount val="6"/>
                <c:pt idx="0">
                  <c:v>2.2774312431017352E-2</c:v>
                </c:pt>
                <c:pt idx="1">
                  <c:v>4.0141615604309733E-2</c:v>
                </c:pt>
                <c:pt idx="2">
                  <c:v>3.3399115506909105E-2</c:v>
                </c:pt>
                <c:pt idx="3">
                  <c:v>3.3504063315376253E-2</c:v>
                </c:pt>
                <c:pt idx="4">
                  <c:v>3.3922299012868473E-2</c:v>
                </c:pt>
                <c:pt idx="5">
                  <c:v>3.2182342230709926E-2</c:v>
                </c:pt>
              </c:numCache>
            </c:numRef>
          </c:val>
          <c:smooth val="0"/>
          <c:extLst>
            <c:ext xmlns:c16="http://schemas.microsoft.com/office/drawing/2014/chart" uri="{C3380CC4-5D6E-409C-BE32-E72D297353CC}">
              <c16:uniqueId val="{00000046-A52C-475C-B692-70EF6CCBDDA4}"/>
            </c:ext>
          </c:extLst>
        </c:ser>
        <c:dLbls>
          <c:showLegendKey val="0"/>
          <c:showVal val="0"/>
          <c:showCatName val="0"/>
          <c:showSerName val="0"/>
          <c:showPercent val="0"/>
          <c:showBubbleSize val="0"/>
        </c:dLbls>
        <c:marker val="1"/>
        <c:smooth val="0"/>
        <c:axId val="445237568"/>
        <c:axId val="445237176"/>
      </c:lineChart>
      <c:catAx>
        <c:axId val="445231688"/>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236392"/>
        <c:crosses val="autoZero"/>
        <c:auto val="1"/>
        <c:lblAlgn val="ctr"/>
        <c:lblOffset val="100"/>
        <c:noMultiLvlLbl val="0"/>
      </c:catAx>
      <c:valAx>
        <c:axId val="445236392"/>
        <c:scaling>
          <c:orientation val="minMax"/>
          <c:max val="4"/>
          <c:min val="-1"/>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b="1"/>
                  <a:t>Contribution à l'évolution (en points)</a:t>
                </a:r>
              </a:p>
            </c:rich>
          </c:tx>
          <c:layout>
            <c:manualLayout>
              <c:xMode val="edge"/>
              <c:yMode val="edge"/>
              <c:x val="2.1684585530462902E-2"/>
              <c:y val="0.143721500043222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231688"/>
        <c:crosses val="autoZero"/>
        <c:crossBetween val="between"/>
        <c:majorUnit val="1"/>
      </c:valAx>
      <c:valAx>
        <c:axId val="445237176"/>
        <c:scaling>
          <c:orientation val="minMax"/>
          <c:max val="6.0000000000000012E-2"/>
          <c:min val="0"/>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b="1"/>
                  <a:t>Evolution en %</a:t>
                </a:r>
              </a:p>
            </c:rich>
          </c:tx>
          <c:layout>
            <c:manualLayout>
              <c:xMode val="edge"/>
              <c:yMode val="edge"/>
              <c:x val="0.96678892896112678"/>
              <c:y val="0.3199380159707814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237568"/>
        <c:crosses val="max"/>
        <c:crossBetween val="between"/>
        <c:majorUnit val="2.0000000000000004E-2"/>
      </c:valAx>
      <c:catAx>
        <c:axId val="445237568"/>
        <c:scaling>
          <c:orientation val="minMax"/>
        </c:scaling>
        <c:delete val="1"/>
        <c:axPos val="b"/>
        <c:numFmt formatCode="General" sourceLinked="1"/>
        <c:majorTickMark val="none"/>
        <c:minorTickMark val="none"/>
        <c:tickLblPos val="nextTo"/>
        <c:crossAx val="445237176"/>
        <c:crosses val="autoZero"/>
        <c:auto val="1"/>
        <c:lblAlgn val="ctr"/>
        <c:lblOffset val="100"/>
        <c:noMultiLvlLbl val="0"/>
      </c:catAx>
      <c:spPr>
        <a:noFill/>
        <a:ln>
          <a:noFill/>
        </a:ln>
        <a:effectLst/>
      </c:spPr>
    </c:plotArea>
    <c:legend>
      <c:legendPos val="b"/>
      <c:legendEntry>
        <c:idx val="6"/>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layout>
        <c:manualLayout>
          <c:xMode val="edge"/>
          <c:yMode val="edge"/>
          <c:x val="5.2865866820886669E-2"/>
          <c:y val="0.8327464503371369"/>
          <c:w val="0.91249887179074951"/>
          <c:h val="0.16725354966286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Maladie</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00-9C15-4427-AFB6-2691B982E2F9}"/>
              </c:ext>
            </c:extLst>
          </c:dPt>
          <c:dPt>
            <c:idx val="1"/>
            <c:invertIfNegative val="0"/>
            <c:bubble3D val="0"/>
            <c:extLst>
              <c:ext xmlns:c16="http://schemas.microsoft.com/office/drawing/2014/chart" uri="{C3380CC4-5D6E-409C-BE32-E72D297353CC}">
                <c16:uniqueId val="{00000001-9C15-4427-AFB6-2691B982E2F9}"/>
              </c:ext>
            </c:extLst>
          </c:dPt>
          <c:dPt>
            <c:idx val="2"/>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9C15-4427-AFB6-2691B982E2F9}"/>
              </c:ext>
            </c:extLst>
          </c:dPt>
          <c:dPt>
            <c:idx val="3"/>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9C15-4427-AFB6-2691B982E2F9}"/>
              </c:ext>
            </c:extLst>
          </c:dPt>
          <c:dPt>
            <c:idx val="4"/>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9C15-4427-AFB6-2691B982E2F9}"/>
              </c:ext>
            </c:extLst>
          </c:dPt>
          <c:dPt>
            <c:idx val="5"/>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9C15-4427-AFB6-2691B982E2F9}"/>
              </c:ext>
            </c:extLst>
          </c:dPt>
          <c:dPt>
            <c:idx val="6"/>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9C15-4427-AFB6-2691B982E2F9}"/>
              </c:ext>
            </c:extLst>
          </c:dPt>
          <c:cat>
            <c:strRef>
              <c:f>CHARGES_PRODUITS!$D$2:$I$2</c:f>
              <c:strCache>
                <c:ptCount val="6"/>
                <c:pt idx="0">
                  <c:v>2023</c:v>
                </c:pt>
                <c:pt idx="1">
                  <c:v>2024(p)</c:v>
                </c:pt>
                <c:pt idx="2">
                  <c:v>2025(p)</c:v>
                </c:pt>
                <c:pt idx="3">
                  <c:v>2026(p)</c:v>
                </c:pt>
                <c:pt idx="4">
                  <c:v>2027(p)</c:v>
                </c:pt>
                <c:pt idx="5">
                  <c:v>2028(p)</c:v>
                </c:pt>
              </c:strCache>
            </c:strRef>
          </c:cat>
          <c:val>
            <c:numRef>
              <c:f>CHARGES_PRODUITS!$C$42:$H$42</c:f>
              <c:numCache>
                <c:formatCode>#\ ##0.0</c:formatCode>
                <c:ptCount val="6"/>
                <c:pt idx="0">
                  <c:v>0.19378279385772423</c:v>
                </c:pt>
                <c:pt idx="1">
                  <c:v>1.1137694388782189</c:v>
                </c:pt>
                <c:pt idx="2">
                  <c:v>1.3613919244375727</c:v>
                </c:pt>
                <c:pt idx="3">
                  <c:v>1.5701502284061388</c:v>
                </c:pt>
                <c:pt idx="4">
                  <c:v>1.4821021995988446</c:v>
                </c:pt>
                <c:pt idx="5">
                  <c:v>1.4856861375357766</c:v>
                </c:pt>
              </c:numCache>
            </c:numRef>
          </c:val>
          <c:extLst>
            <c:ext xmlns:c16="http://schemas.microsoft.com/office/drawing/2014/chart" uri="{C3380CC4-5D6E-409C-BE32-E72D297353CC}">
              <c16:uniqueId val="{0000000C-9C15-4427-AFB6-2691B982E2F9}"/>
            </c:ext>
          </c:extLst>
        </c:ser>
        <c:ser>
          <c:idx val="1"/>
          <c:order val="1"/>
          <c:tx>
            <c:v>ATMP</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0E-9C15-4427-AFB6-2691B982E2F9}"/>
              </c:ext>
            </c:extLst>
          </c:dPt>
          <c:dPt>
            <c:idx val="3"/>
            <c:invertIfNegative val="0"/>
            <c:bubble3D val="0"/>
            <c:extLst>
              <c:ext xmlns:c16="http://schemas.microsoft.com/office/drawing/2014/chart" uri="{C3380CC4-5D6E-409C-BE32-E72D297353CC}">
                <c16:uniqueId val="{00000010-9C15-4427-AFB6-2691B982E2F9}"/>
              </c:ext>
            </c:extLst>
          </c:dPt>
          <c:dPt>
            <c:idx val="4"/>
            <c:invertIfNegative val="0"/>
            <c:bubble3D val="0"/>
            <c:extLst>
              <c:ext xmlns:c16="http://schemas.microsoft.com/office/drawing/2014/chart" uri="{C3380CC4-5D6E-409C-BE32-E72D297353CC}">
                <c16:uniqueId val="{00000012-9C15-4427-AFB6-2691B982E2F9}"/>
              </c:ext>
            </c:extLst>
          </c:dPt>
          <c:dPt>
            <c:idx val="5"/>
            <c:invertIfNegative val="0"/>
            <c:bubble3D val="0"/>
            <c:extLst>
              <c:ext xmlns:c16="http://schemas.microsoft.com/office/drawing/2014/chart" uri="{C3380CC4-5D6E-409C-BE32-E72D297353CC}">
                <c16:uniqueId val="{00000014-9C15-4427-AFB6-2691B982E2F9}"/>
              </c:ext>
            </c:extLst>
          </c:dPt>
          <c:dPt>
            <c:idx val="6"/>
            <c:invertIfNegative val="0"/>
            <c:bubble3D val="0"/>
            <c:extLst>
              <c:ext xmlns:c16="http://schemas.microsoft.com/office/drawing/2014/chart" uri="{C3380CC4-5D6E-409C-BE32-E72D297353CC}">
                <c16:uniqueId val="{00000016-9C15-4427-AFB6-2691B982E2F9}"/>
              </c:ext>
            </c:extLst>
          </c:dPt>
          <c:cat>
            <c:strRef>
              <c:f>CHARGES_PRODUITS!$D$2:$I$2</c:f>
              <c:strCache>
                <c:ptCount val="6"/>
                <c:pt idx="0">
                  <c:v>2023</c:v>
                </c:pt>
                <c:pt idx="1">
                  <c:v>2024(p)</c:v>
                </c:pt>
                <c:pt idx="2">
                  <c:v>2025(p)</c:v>
                </c:pt>
                <c:pt idx="3">
                  <c:v>2026(p)</c:v>
                </c:pt>
                <c:pt idx="4">
                  <c:v>2027(p)</c:v>
                </c:pt>
                <c:pt idx="5">
                  <c:v>2028(p)</c:v>
                </c:pt>
              </c:strCache>
            </c:strRef>
          </c:cat>
          <c:val>
            <c:numRef>
              <c:f>CHARGES_PRODUITS!$C$43:$H$43</c:f>
              <c:numCache>
                <c:formatCode>#\ ##0.0</c:formatCode>
                <c:ptCount val="6"/>
                <c:pt idx="0">
                  <c:v>0.16312430196433372</c:v>
                </c:pt>
                <c:pt idx="1">
                  <c:v>0.10248353723209057</c:v>
                </c:pt>
                <c:pt idx="2">
                  <c:v>0.10683758554045281</c:v>
                </c:pt>
                <c:pt idx="3">
                  <c:v>0.10895762782356351</c:v>
                </c:pt>
                <c:pt idx="4">
                  <c:v>0.10552223775039833</c:v>
                </c:pt>
                <c:pt idx="5">
                  <c:v>0.10217673802303544</c:v>
                </c:pt>
              </c:numCache>
            </c:numRef>
          </c:val>
          <c:extLst>
            <c:ext xmlns:c16="http://schemas.microsoft.com/office/drawing/2014/chart" uri="{C3380CC4-5D6E-409C-BE32-E72D297353CC}">
              <c16:uniqueId val="{00000017-9C15-4427-AFB6-2691B982E2F9}"/>
            </c:ext>
          </c:extLst>
        </c:ser>
        <c:ser>
          <c:idx val="2"/>
          <c:order val="2"/>
          <c:tx>
            <c:v>Famille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19-9C15-4427-AFB6-2691B982E2F9}"/>
              </c:ext>
            </c:extLst>
          </c:dPt>
          <c:dPt>
            <c:idx val="3"/>
            <c:invertIfNegative val="0"/>
            <c:bubble3D val="0"/>
            <c:extLst>
              <c:ext xmlns:c16="http://schemas.microsoft.com/office/drawing/2014/chart" uri="{C3380CC4-5D6E-409C-BE32-E72D297353CC}">
                <c16:uniqueId val="{0000001B-9C15-4427-AFB6-2691B982E2F9}"/>
              </c:ext>
            </c:extLst>
          </c:dPt>
          <c:dPt>
            <c:idx val="4"/>
            <c:invertIfNegative val="0"/>
            <c:bubble3D val="0"/>
            <c:extLst>
              <c:ext xmlns:c16="http://schemas.microsoft.com/office/drawing/2014/chart" uri="{C3380CC4-5D6E-409C-BE32-E72D297353CC}">
                <c16:uniqueId val="{0000001D-9C15-4427-AFB6-2691B982E2F9}"/>
              </c:ext>
            </c:extLst>
          </c:dPt>
          <c:dPt>
            <c:idx val="5"/>
            <c:invertIfNegative val="0"/>
            <c:bubble3D val="0"/>
            <c:extLst>
              <c:ext xmlns:c16="http://schemas.microsoft.com/office/drawing/2014/chart" uri="{C3380CC4-5D6E-409C-BE32-E72D297353CC}">
                <c16:uniqueId val="{0000001F-9C15-4427-AFB6-2691B982E2F9}"/>
              </c:ext>
            </c:extLst>
          </c:dPt>
          <c:dPt>
            <c:idx val="6"/>
            <c:invertIfNegative val="0"/>
            <c:bubble3D val="0"/>
            <c:extLst>
              <c:ext xmlns:c16="http://schemas.microsoft.com/office/drawing/2014/chart" uri="{C3380CC4-5D6E-409C-BE32-E72D297353CC}">
                <c16:uniqueId val="{00000021-9C15-4427-AFB6-2691B982E2F9}"/>
              </c:ext>
            </c:extLst>
          </c:dPt>
          <c:cat>
            <c:strRef>
              <c:f>CHARGES_PRODUITS!$D$2:$I$2</c:f>
              <c:strCache>
                <c:ptCount val="6"/>
                <c:pt idx="0">
                  <c:v>2023</c:v>
                </c:pt>
                <c:pt idx="1">
                  <c:v>2024(p)</c:v>
                </c:pt>
                <c:pt idx="2">
                  <c:v>2025(p)</c:v>
                </c:pt>
                <c:pt idx="3">
                  <c:v>2026(p)</c:v>
                </c:pt>
                <c:pt idx="4">
                  <c:v>2027(p)</c:v>
                </c:pt>
                <c:pt idx="5">
                  <c:v>2028(p)</c:v>
                </c:pt>
              </c:strCache>
            </c:strRef>
          </c:cat>
          <c:val>
            <c:numRef>
              <c:f>CHARGES_PRODUITS!$C$44:$H$44</c:f>
              <c:numCache>
                <c:formatCode>#\ ##0.0</c:formatCode>
                <c:ptCount val="6"/>
                <c:pt idx="0">
                  <c:v>-0.26278244913489662</c:v>
                </c:pt>
                <c:pt idx="1">
                  <c:v>2.1309801822692258E-2</c:v>
                </c:pt>
                <c:pt idx="2">
                  <c:v>0.10583610808296831</c:v>
                </c:pt>
                <c:pt idx="3">
                  <c:v>9.7581088418692494E-2</c:v>
                </c:pt>
                <c:pt idx="4">
                  <c:v>9.752241683077402E-2</c:v>
                </c:pt>
                <c:pt idx="5">
                  <c:v>9.6309100382938689E-2</c:v>
                </c:pt>
              </c:numCache>
            </c:numRef>
          </c:val>
          <c:extLst>
            <c:ext xmlns:c16="http://schemas.microsoft.com/office/drawing/2014/chart" uri="{C3380CC4-5D6E-409C-BE32-E72D297353CC}">
              <c16:uniqueId val="{00000022-9C15-4427-AFB6-2691B982E2F9}"/>
            </c:ext>
          </c:extLst>
        </c:ser>
        <c:ser>
          <c:idx val="3"/>
          <c:order val="3"/>
          <c:tx>
            <c:v>Retraite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4-9C15-4427-AFB6-2691B982E2F9}"/>
              </c:ext>
            </c:extLst>
          </c:dPt>
          <c:dPt>
            <c:idx val="3"/>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6-9C15-4427-AFB6-2691B982E2F9}"/>
              </c:ext>
            </c:extLst>
          </c:dPt>
          <c:dPt>
            <c:idx val="4"/>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8-9C15-4427-AFB6-2691B982E2F9}"/>
              </c:ext>
            </c:extLst>
          </c:dPt>
          <c:dPt>
            <c:idx val="5"/>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A-9C15-4427-AFB6-2691B982E2F9}"/>
              </c:ext>
            </c:extLst>
          </c:dPt>
          <c:dPt>
            <c:idx val="6"/>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C-9C15-4427-AFB6-2691B982E2F9}"/>
              </c:ext>
            </c:extLst>
          </c:dPt>
          <c:cat>
            <c:strRef>
              <c:f>CHARGES_PRODUITS!$D$2:$I$2</c:f>
              <c:strCache>
                <c:ptCount val="6"/>
                <c:pt idx="0">
                  <c:v>2023</c:v>
                </c:pt>
                <c:pt idx="1">
                  <c:v>2024(p)</c:v>
                </c:pt>
                <c:pt idx="2">
                  <c:v>2025(p)</c:v>
                </c:pt>
                <c:pt idx="3">
                  <c:v>2026(p)</c:v>
                </c:pt>
                <c:pt idx="4">
                  <c:v>2027(p)</c:v>
                </c:pt>
                <c:pt idx="5">
                  <c:v>2028(p)</c:v>
                </c:pt>
              </c:strCache>
            </c:strRef>
          </c:cat>
          <c:val>
            <c:numRef>
              <c:f>CHARGES_PRODUITS!$C$45:$H$45</c:f>
              <c:numCache>
                <c:formatCode>#\ ##0.0</c:formatCode>
                <c:ptCount val="6"/>
                <c:pt idx="0">
                  <c:v>2.1551039206753262</c:v>
                </c:pt>
                <c:pt idx="1">
                  <c:v>2.4072736949593501</c:v>
                </c:pt>
                <c:pt idx="2">
                  <c:v>1.6649850628661917</c:v>
                </c:pt>
                <c:pt idx="3">
                  <c:v>1.4678096269454597</c:v>
                </c:pt>
                <c:pt idx="4">
                  <c:v>1.5952045824224315</c:v>
                </c:pt>
                <c:pt idx="5">
                  <c:v>1.4132757326493632</c:v>
                </c:pt>
              </c:numCache>
            </c:numRef>
          </c:val>
          <c:extLst>
            <c:ext xmlns:c16="http://schemas.microsoft.com/office/drawing/2014/chart" uri="{C3380CC4-5D6E-409C-BE32-E72D297353CC}">
              <c16:uniqueId val="{0000002D-9C15-4427-AFB6-2691B982E2F9}"/>
            </c:ext>
          </c:extLst>
        </c:ser>
        <c:ser>
          <c:idx val="4"/>
          <c:order val="5"/>
          <c:tx>
            <c:v>SASPA</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CHARGES_PRODUITS!$D$2:$I$2</c:f>
              <c:strCache>
                <c:ptCount val="6"/>
                <c:pt idx="0">
                  <c:v>2023</c:v>
                </c:pt>
                <c:pt idx="1">
                  <c:v>2024(p)</c:v>
                </c:pt>
                <c:pt idx="2">
                  <c:v>2025(p)</c:v>
                </c:pt>
                <c:pt idx="3">
                  <c:v>2026(p)</c:v>
                </c:pt>
                <c:pt idx="4">
                  <c:v>2027(p)</c:v>
                </c:pt>
                <c:pt idx="5">
                  <c:v>2028(p)</c:v>
                </c:pt>
              </c:strCache>
            </c:strRef>
          </c:cat>
          <c:val>
            <c:numRef>
              <c:f>CHARGES_PRODUITS!$C$46:$H$46</c:f>
              <c:numCache>
                <c:formatCode>#\ ##0.0</c:formatCode>
                <c:ptCount val="6"/>
                <c:pt idx="0">
                  <c:v>-2.2470216015681933E-2</c:v>
                </c:pt>
                <c:pt idx="1">
                  <c:v>0.36932508753860988</c:v>
                </c:pt>
                <c:pt idx="2">
                  <c:v>0.1008608697637183</c:v>
                </c:pt>
                <c:pt idx="3">
                  <c:v>0.10590775994378479</c:v>
                </c:pt>
                <c:pt idx="4">
                  <c:v>0.11187846468438933</c:v>
                </c:pt>
                <c:pt idx="5">
                  <c:v>0.12078651447986662</c:v>
                </c:pt>
              </c:numCache>
            </c:numRef>
          </c:val>
          <c:extLst>
            <c:ext xmlns:c16="http://schemas.microsoft.com/office/drawing/2014/chart" uri="{C3380CC4-5D6E-409C-BE32-E72D297353CC}">
              <c16:uniqueId val="{0000002E-9C15-4427-AFB6-2691B982E2F9}"/>
            </c:ext>
          </c:extLst>
        </c:ser>
        <c:dLbls>
          <c:showLegendKey val="0"/>
          <c:showVal val="0"/>
          <c:showCatName val="0"/>
          <c:showSerName val="0"/>
          <c:showPercent val="0"/>
          <c:showBubbleSize val="0"/>
        </c:dLbls>
        <c:gapWidth val="150"/>
        <c:axId val="445233648"/>
        <c:axId val="445234040"/>
      </c:barChart>
      <c:lineChart>
        <c:grouping val="standard"/>
        <c:varyColors val="0"/>
        <c:ser>
          <c:idx val="5"/>
          <c:order val="4"/>
          <c:tx>
            <c:v>Evolution des dépenses totales</c:v>
          </c:tx>
          <c:spPr>
            <a:ln w="31750" cap="rnd">
              <a:solidFill>
                <a:schemeClr val="accent5">
                  <a:lumMod val="60000"/>
                </a:schemeClr>
              </a:solidFill>
              <a:round/>
            </a:ln>
            <a:effectLst>
              <a:outerShdw blurRad="40000" dist="23000" dir="5400000" rotWithShape="0">
                <a:srgbClr val="000000">
                  <a:alpha val="35000"/>
                </a:srgbClr>
              </a:outerShdw>
            </a:effectLst>
          </c:spPr>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2"/>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0-9C15-4427-AFB6-2691B982E2F9}"/>
              </c:ext>
            </c:extLst>
          </c:dPt>
          <c:dPt>
            <c:idx val="3"/>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2-9C15-4427-AFB6-2691B982E2F9}"/>
              </c:ext>
            </c:extLst>
          </c:dPt>
          <c:dPt>
            <c:idx val="4"/>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4-9C15-4427-AFB6-2691B982E2F9}"/>
              </c:ext>
            </c:extLst>
          </c:dPt>
          <c:dPt>
            <c:idx val="5"/>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extLst>
              <c:ext xmlns:c16="http://schemas.microsoft.com/office/drawing/2014/chart" uri="{C3380CC4-5D6E-409C-BE32-E72D297353CC}">
                <c16:uniqueId val="{00000036-9C15-4427-AFB6-2691B982E2F9}"/>
              </c:ext>
            </c:extLst>
          </c:dPt>
          <c:dLbls>
            <c:dLbl>
              <c:idx val="0"/>
              <c:layout>
                <c:manualLayout>
                  <c:x val="-6.7511423971842538E-2"/>
                  <c:y val="-3.632544901030034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9C15-4427-AFB6-2691B982E2F9}"/>
                </c:ext>
              </c:extLst>
            </c:dLbl>
            <c:dLbl>
              <c:idx val="1"/>
              <c:layout>
                <c:manualLayout>
                  <c:x val="-2.8466500514953655E-2"/>
                  <c:y val="-5.2625441204067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9C15-4427-AFB6-2691B982E2F9}"/>
                </c:ext>
              </c:extLst>
            </c:dLbl>
            <c:dLbl>
              <c:idx val="2"/>
              <c:layout>
                <c:manualLayout>
                  <c:x val="-2.7424250567448929E-2"/>
                  <c:y val="-6.78915888794527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9C15-4427-AFB6-2691B982E2F9}"/>
                </c:ext>
              </c:extLst>
            </c:dLbl>
            <c:dLbl>
              <c:idx val="3"/>
              <c:layout>
                <c:manualLayout>
                  <c:x val="-4.5376541111300059E-2"/>
                  <c:y val="-4.71865569061697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9C15-4427-AFB6-2691B982E2F9}"/>
                </c:ext>
              </c:extLst>
            </c:dLbl>
            <c:dLbl>
              <c:idx val="4"/>
              <c:layout>
                <c:manualLayout>
                  <c:x val="-3.3488236058754714E-2"/>
                  <c:y val="-6.1846366527931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9C15-4427-AFB6-2691B982E2F9}"/>
                </c:ext>
              </c:extLst>
            </c:dLbl>
            <c:dLbl>
              <c:idx val="5"/>
              <c:layout>
                <c:manualLayout>
                  <c:x val="-3.7456628903398695E-2"/>
                  <c:y val="-5.3910744208985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9C15-4427-AFB6-2691B982E2F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CHARGES_PRODUITS!$D$2:$I$2</c:f>
              <c:strCache>
                <c:ptCount val="6"/>
                <c:pt idx="0">
                  <c:v>2023</c:v>
                </c:pt>
                <c:pt idx="1">
                  <c:v>2024(p)</c:v>
                </c:pt>
                <c:pt idx="2">
                  <c:v>2025(p)</c:v>
                </c:pt>
                <c:pt idx="3">
                  <c:v>2026(p)</c:v>
                </c:pt>
                <c:pt idx="4">
                  <c:v>2027(p)</c:v>
                </c:pt>
                <c:pt idx="5">
                  <c:v>2028(p)</c:v>
                </c:pt>
              </c:strCache>
            </c:strRef>
          </c:cat>
          <c:val>
            <c:numRef>
              <c:f>CHARGES_PRODUITS!$C$25:$H$25</c:f>
              <c:numCache>
                <c:formatCode>0.0%</c:formatCode>
                <c:ptCount val="6"/>
                <c:pt idx="0">
                  <c:v>2.2774721527067943E-2</c:v>
                </c:pt>
                <c:pt idx="1">
                  <c:v>4.0141615604309733E-2</c:v>
                </c:pt>
                <c:pt idx="2">
                  <c:v>3.3399115506908883E-2</c:v>
                </c:pt>
                <c:pt idx="3">
                  <c:v>3.3504063315376476E-2</c:v>
                </c:pt>
                <c:pt idx="4">
                  <c:v>3.3922299012868473E-2</c:v>
                </c:pt>
                <c:pt idx="5">
                  <c:v>3.2182342230709926E-2</c:v>
                </c:pt>
              </c:numCache>
            </c:numRef>
          </c:val>
          <c:smooth val="0"/>
          <c:extLst>
            <c:ext xmlns:c16="http://schemas.microsoft.com/office/drawing/2014/chart" uri="{C3380CC4-5D6E-409C-BE32-E72D297353CC}">
              <c16:uniqueId val="{00000039-9C15-4427-AFB6-2691B982E2F9}"/>
            </c:ext>
          </c:extLst>
        </c:ser>
        <c:dLbls>
          <c:showLegendKey val="0"/>
          <c:showVal val="0"/>
          <c:showCatName val="0"/>
          <c:showSerName val="0"/>
          <c:showPercent val="0"/>
          <c:showBubbleSize val="0"/>
        </c:dLbls>
        <c:marker val="1"/>
        <c:smooth val="0"/>
        <c:axId val="445438256"/>
        <c:axId val="445433944"/>
      </c:lineChart>
      <c:catAx>
        <c:axId val="445233648"/>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234040"/>
        <c:crosses val="autoZero"/>
        <c:auto val="1"/>
        <c:lblAlgn val="ctr"/>
        <c:lblOffset val="100"/>
        <c:noMultiLvlLbl val="0"/>
      </c:catAx>
      <c:valAx>
        <c:axId val="445234040"/>
        <c:scaling>
          <c:orientation val="minMax"/>
          <c:max val="3"/>
          <c:min val="-0.5"/>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Contribution à l'évolution (en points)</a:t>
                </a:r>
              </a:p>
            </c:rich>
          </c:tx>
          <c:layout>
            <c:manualLayout>
              <c:xMode val="edge"/>
              <c:yMode val="edge"/>
              <c:x val="3.3159515643592075E-3"/>
              <c:y val="0.2445818983948646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233648"/>
        <c:crosses val="autoZero"/>
        <c:crossBetween val="between"/>
        <c:majorUnit val="1"/>
      </c:valAx>
      <c:valAx>
        <c:axId val="445433944"/>
        <c:scaling>
          <c:orientation val="minMax"/>
          <c:max val="5.000000000000001E-2"/>
          <c:min val="0"/>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Evolution en %</a:t>
                </a:r>
              </a:p>
            </c:rich>
          </c:tx>
          <c:layout>
            <c:manualLayout>
              <c:xMode val="edge"/>
              <c:yMode val="edge"/>
              <c:x val="0.96700468832805042"/>
              <c:y val="0.3674664488993547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438256"/>
        <c:crosses val="max"/>
        <c:crossBetween val="between"/>
        <c:majorUnit val="1.0000000000000002E-2"/>
      </c:valAx>
      <c:catAx>
        <c:axId val="445438256"/>
        <c:scaling>
          <c:orientation val="minMax"/>
        </c:scaling>
        <c:delete val="1"/>
        <c:axPos val="b"/>
        <c:numFmt formatCode="General" sourceLinked="1"/>
        <c:majorTickMark val="none"/>
        <c:minorTickMark val="none"/>
        <c:tickLblPos val="nextTo"/>
        <c:crossAx val="445433944"/>
        <c:crosses val="autoZero"/>
        <c:auto val="1"/>
        <c:lblAlgn val="ctr"/>
        <c:lblOffset val="100"/>
        <c:noMultiLvlLbl val="0"/>
      </c:catAx>
      <c:spPr>
        <a:noFill/>
        <a:ln>
          <a:noFill/>
        </a:ln>
        <a:effectLst/>
      </c:spPr>
    </c:plotArea>
    <c:legend>
      <c:legendPos val="b"/>
      <c:legendEntry>
        <c:idx val="5"/>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Maladie</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0"/>
            <c:invertIfNegative val="0"/>
            <c:bubble3D val="0"/>
            <c:extLst>
              <c:ext xmlns:c16="http://schemas.microsoft.com/office/drawing/2014/chart" uri="{C3380CC4-5D6E-409C-BE32-E72D297353CC}">
                <c16:uniqueId val="{00000000-08F3-46D7-BF34-FCCF3F5BA224}"/>
              </c:ext>
            </c:extLst>
          </c:dPt>
          <c:dPt>
            <c:idx val="1"/>
            <c:invertIfNegative val="0"/>
            <c:bubble3D val="0"/>
            <c:extLst>
              <c:ext xmlns:c16="http://schemas.microsoft.com/office/drawing/2014/chart" uri="{C3380CC4-5D6E-409C-BE32-E72D297353CC}">
                <c16:uniqueId val="{00000001-08F3-46D7-BF34-FCCF3F5BA224}"/>
              </c:ext>
            </c:extLst>
          </c:dPt>
          <c:dPt>
            <c:idx val="2"/>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08F3-46D7-BF34-FCCF3F5BA224}"/>
              </c:ext>
            </c:extLst>
          </c:dPt>
          <c:dPt>
            <c:idx val="3"/>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08F3-46D7-BF34-FCCF3F5BA224}"/>
              </c:ext>
            </c:extLst>
          </c:dPt>
          <c:dPt>
            <c:idx val="4"/>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08F3-46D7-BF34-FCCF3F5BA224}"/>
              </c:ext>
            </c:extLst>
          </c:dPt>
          <c:dPt>
            <c:idx val="5"/>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08F3-46D7-BF34-FCCF3F5BA224}"/>
              </c:ext>
            </c:extLst>
          </c:dPt>
          <c:dPt>
            <c:idx val="6"/>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08F3-46D7-BF34-FCCF3F5BA224}"/>
              </c:ext>
            </c:extLst>
          </c:dPt>
          <c:cat>
            <c:strRef>
              <c:f>CHARGES_PRODUITS!$C$41:$H$41</c:f>
              <c:strCache>
                <c:ptCount val="6"/>
                <c:pt idx="0">
                  <c:v>2023</c:v>
                </c:pt>
                <c:pt idx="1">
                  <c:v>2024(p)</c:v>
                </c:pt>
                <c:pt idx="2">
                  <c:v>2025(p)</c:v>
                </c:pt>
                <c:pt idx="3">
                  <c:v>2026(p)</c:v>
                </c:pt>
                <c:pt idx="4">
                  <c:v>2027(p)</c:v>
                </c:pt>
                <c:pt idx="5">
                  <c:v>2028(p)</c:v>
                </c:pt>
              </c:strCache>
            </c:strRef>
          </c:cat>
          <c:val>
            <c:numRef>
              <c:f>CHARGES_PRODUITS!$C$48:$H$48</c:f>
              <c:numCache>
                <c:formatCode>#\ ##0.0</c:formatCode>
                <c:ptCount val="6"/>
                <c:pt idx="0">
                  <c:v>0.19304302235113319</c:v>
                </c:pt>
                <c:pt idx="1">
                  <c:v>1.1095175913360193</c:v>
                </c:pt>
                <c:pt idx="2">
                  <c:v>1.3577758841525556</c:v>
                </c:pt>
                <c:pt idx="3">
                  <c:v>1.5659838033141522</c:v>
                </c:pt>
                <c:pt idx="4">
                  <c:v>1.4782012879435729</c:v>
                </c:pt>
                <c:pt idx="5">
                  <c:v>1.4818742191110625</c:v>
                </c:pt>
              </c:numCache>
            </c:numRef>
          </c:val>
          <c:extLst>
            <c:ext xmlns:c16="http://schemas.microsoft.com/office/drawing/2014/chart" uri="{C3380CC4-5D6E-409C-BE32-E72D297353CC}">
              <c16:uniqueId val="{0000000C-08F3-46D7-BF34-FCCF3F5BA224}"/>
            </c:ext>
          </c:extLst>
        </c:ser>
        <c:ser>
          <c:idx val="1"/>
          <c:order val="1"/>
          <c:tx>
            <c:v>ATMP</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0E-08F3-46D7-BF34-FCCF3F5BA224}"/>
              </c:ext>
            </c:extLst>
          </c:dPt>
          <c:dPt>
            <c:idx val="3"/>
            <c:invertIfNegative val="0"/>
            <c:bubble3D val="0"/>
            <c:extLst>
              <c:ext xmlns:c16="http://schemas.microsoft.com/office/drawing/2014/chart" uri="{C3380CC4-5D6E-409C-BE32-E72D297353CC}">
                <c16:uniqueId val="{00000010-08F3-46D7-BF34-FCCF3F5BA224}"/>
              </c:ext>
            </c:extLst>
          </c:dPt>
          <c:dPt>
            <c:idx val="4"/>
            <c:invertIfNegative val="0"/>
            <c:bubble3D val="0"/>
            <c:extLst>
              <c:ext xmlns:c16="http://schemas.microsoft.com/office/drawing/2014/chart" uri="{C3380CC4-5D6E-409C-BE32-E72D297353CC}">
                <c16:uniqueId val="{00000012-08F3-46D7-BF34-FCCF3F5BA224}"/>
              </c:ext>
            </c:extLst>
          </c:dPt>
          <c:dPt>
            <c:idx val="5"/>
            <c:invertIfNegative val="0"/>
            <c:bubble3D val="0"/>
            <c:extLst>
              <c:ext xmlns:c16="http://schemas.microsoft.com/office/drawing/2014/chart" uri="{C3380CC4-5D6E-409C-BE32-E72D297353CC}">
                <c16:uniqueId val="{00000014-08F3-46D7-BF34-FCCF3F5BA224}"/>
              </c:ext>
            </c:extLst>
          </c:dPt>
          <c:dPt>
            <c:idx val="6"/>
            <c:invertIfNegative val="0"/>
            <c:bubble3D val="0"/>
            <c:extLst>
              <c:ext xmlns:c16="http://schemas.microsoft.com/office/drawing/2014/chart" uri="{C3380CC4-5D6E-409C-BE32-E72D297353CC}">
                <c16:uniqueId val="{00000016-08F3-46D7-BF34-FCCF3F5BA224}"/>
              </c:ext>
            </c:extLst>
          </c:dPt>
          <c:cat>
            <c:strRef>
              <c:f>CHARGES_PRODUITS!$C$41:$H$41</c:f>
              <c:strCache>
                <c:ptCount val="6"/>
                <c:pt idx="0">
                  <c:v>2023</c:v>
                </c:pt>
                <c:pt idx="1">
                  <c:v>2024(p)</c:v>
                </c:pt>
                <c:pt idx="2">
                  <c:v>2025(p)</c:v>
                </c:pt>
                <c:pt idx="3">
                  <c:v>2026(p)</c:v>
                </c:pt>
                <c:pt idx="4">
                  <c:v>2027(p)</c:v>
                </c:pt>
                <c:pt idx="5">
                  <c:v>2028(p)</c:v>
                </c:pt>
              </c:strCache>
            </c:strRef>
          </c:cat>
          <c:val>
            <c:numRef>
              <c:f>CHARGES_PRODUITS!$C$49:$H$49</c:f>
              <c:numCache>
                <c:formatCode>#\ ##0.0</c:formatCode>
                <c:ptCount val="6"/>
                <c:pt idx="0">
                  <c:v>0.16855574481683344</c:v>
                </c:pt>
                <c:pt idx="1">
                  <c:v>-3.4581840020370359E-3</c:v>
                </c:pt>
                <c:pt idx="2">
                  <c:v>0.11515415092082452</c:v>
                </c:pt>
                <c:pt idx="3">
                  <c:v>0.11533020808539091</c:v>
                </c:pt>
                <c:pt idx="4">
                  <c:v>0.10730557380018141</c:v>
                </c:pt>
                <c:pt idx="5">
                  <c:v>0.11366239447480947</c:v>
                </c:pt>
              </c:numCache>
            </c:numRef>
          </c:val>
          <c:extLst>
            <c:ext xmlns:c16="http://schemas.microsoft.com/office/drawing/2014/chart" uri="{C3380CC4-5D6E-409C-BE32-E72D297353CC}">
              <c16:uniqueId val="{00000017-08F3-46D7-BF34-FCCF3F5BA224}"/>
            </c:ext>
          </c:extLst>
        </c:ser>
        <c:ser>
          <c:idx val="2"/>
          <c:order val="2"/>
          <c:tx>
            <c:v>Famille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extLst>
              <c:ext xmlns:c16="http://schemas.microsoft.com/office/drawing/2014/chart" uri="{C3380CC4-5D6E-409C-BE32-E72D297353CC}">
                <c16:uniqueId val="{00000019-08F3-46D7-BF34-FCCF3F5BA224}"/>
              </c:ext>
            </c:extLst>
          </c:dPt>
          <c:dPt>
            <c:idx val="3"/>
            <c:invertIfNegative val="0"/>
            <c:bubble3D val="0"/>
            <c:extLst>
              <c:ext xmlns:c16="http://schemas.microsoft.com/office/drawing/2014/chart" uri="{C3380CC4-5D6E-409C-BE32-E72D297353CC}">
                <c16:uniqueId val="{0000001B-08F3-46D7-BF34-FCCF3F5BA224}"/>
              </c:ext>
            </c:extLst>
          </c:dPt>
          <c:dPt>
            <c:idx val="4"/>
            <c:invertIfNegative val="0"/>
            <c:bubble3D val="0"/>
            <c:extLst>
              <c:ext xmlns:c16="http://schemas.microsoft.com/office/drawing/2014/chart" uri="{C3380CC4-5D6E-409C-BE32-E72D297353CC}">
                <c16:uniqueId val="{0000001D-08F3-46D7-BF34-FCCF3F5BA224}"/>
              </c:ext>
            </c:extLst>
          </c:dPt>
          <c:dPt>
            <c:idx val="5"/>
            <c:invertIfNegative val="0"/>
            <c:bubble3D val="0"/>
            <c:extLst>
              <c:ext xmlns:c16="http://schemas.microsoft.com/office/drawing/2014/chart" uri="{C3380CC4-5D6E-409C-BE32-E72D297353CC}">
                <c16:uniqueId val="{0000001F-08F3-46D7-BF34-FCCF3F5BA224}"/>
              </c:ext>
            </c:extLst>
          </c:dPt>
          <c:dPt>
            <c:idx val="6"/>
            <c:invertIfNegative val="0"/>
            <c:bubble3D val="0"/>
            <c:extLst>
              <c:ext xmlns:c16="http://schemas.microsoft.com/office/drawing/2014/chart" uri="{C3380CC4-5D6E-409C-BE32-E72D297353CC}">
                <c16:uniqueId val="{00000021-08F3-46D7-BF34-FCCF3F5BA224}"/>
              </c:ext>
            </c:extLst>
          </c:dPt>
          <c:cat>
            <c:strRef>
              <c:f>CHARGES_PRODUITS!$C$41:$H$41</c:f>
              <c:strCache>
                <c:ptCount val="6"/>
                <c:pt idx="0">
                  <c:v>2023</c:v>
                </c:pt>
                <c:pt idx="1">
                  <c:v>2024(p)</c:v>
                </c:pt>
                <c:pt idx="2">
                  <c:v>2025(p)</c:v>
                </c:pt>
                <c:pt idx="3">
                  <c:v>2026(p)</c:v>
                </c:pt>
                <c:pt idx="4">
                  <c:v>2027(p)</c:v>
                </c:pt>
                <c:pt idx="5">
                  <c:v>2028(p)</c:v>
                </c:pt>
              </c:strCache>
            </c:strRef>
          </c:cat>
          <c:val>
            <c:numRef>
              <c:f>CHARGES_PRODUITS!$C$50:$H$50</c:f>
              <c:numCache>
                <c:formatCode>#\ ##0.0</c:formatCode>
                <c:ptCount val="6"/>
                <c:pt idx="0">
                  <c:v>-0.26177926941790386</c:v>
                </c:pt>
                <c:pt idx="1">
                  <c:v>2.1228451028404562E-2</c:v>
                </c:pt>
                <c:pt idx="2">
                  <c:v>0.10555499312733525</c:v>
                </c:pt>
                <c:pt idx="3">
                  <c:v>9.7322155045352965E-2</c:v>
                </c:pt>
                <c:pt idx="4">
                  <c:v>9.7265736601457528E-2</c:v>
                </c:pt>
                <c:pt idx="5">
                  <c:v>9.6061994062873468E-2</c:v>
                </c:pt>
              </c:numCache>
            </c:numRef>
          </c:val>
          <c:extLst>
            <c:ext xmlns:c16="http://schemas.microsoft.com/office/drawing/2014/chart" uri="{C3380CC4-5D6E-409C-BE32-E72D297353CC}">
              <c16:uniqueId val="{00000022-08F3-46D7-BF34-FCCF3F5BA224}"/>
            </c:ext>
          </c:extLst>
        </c:ser>
        <c:ser>
          <c:idx val="3"/>
          <c:order val="3"/>
          <c:tx>
            <c:v>Retraite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2"/>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4-08F3-46D7-BF34-FCCF3F5BA224}"/>
              </c:ext>
            </c:extLst>
          </c:dPt>
          <c:dPt>
            <c:idx val="3"/>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6-08F3-46D7-BF34-FCCF3F5BA224}"/>
              </c:ext>
            </c:extLst>
          </c:dPt>
          <c:dPt>
            <c:idx val="4"/>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8-08F3-46D7-BF34-FCCF3F5BA224}"/>
              </c:ext>
            </c:extLst>
          </c:dPt>
          <c:dPt>
            <c:idx val="5"/>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A-08F3-46D7-BF34-FCCF3F5BA224}"/>
              </c:ext>
            </c:extLst>
          </c:dPt>
          <c:dPt>
            <c:idx val="6"/>
            <c:invertIfNegative val="0"/>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C-08F3-46D7-BF34-FCCF3F5BA224}"/>
              </c:ext>
            </c:extLst>
          </c:dPt>
          <c:cat>
            <c:strRef>
              <c:f>CHARGES_PRODUITS!$C$41:$H$41</c:f>
              <c:strCache>
                <c:ptCount val="6"/>
                <c:pt idx="0">
                  <c:v>2023</c:v>
                </c:pt>
                <c:pt idx="1">
                  <c:v>2024(p)</c:v>
                </c:pt>
                <c:pt idx="2">
                  <c:v>2025(p)</c:v>
                </c:pt>
                <c:pt idx="3">
                  <c:v>2026(p)</c:v>
                </c:pt>
                <c:pt idx="4">
                  <c:v>2027(p)</c:v>
                </c:pt>
                <c:pt idx="5">
                  <c:v>2028(p)</c:v>
                </c:pt>
              </c:strCache>
            </c:strRef>
          </c:cat>
          <c:val>
            <c:numRef>
              <c:f>CHARGES_PRODUITS!$C$51:$H$51</c:f>
              <c:numCache>
                <c:formatCode>#\ ##0.0</c:formatCode>
                <c:ptCount val="6"/>
                <c:pt idx="0">
                  <c:v>2.1471252969128289</c:v>
                </c:pt>
                <c:pt idx="1">
                  <c:v>2.3978353081858339</c:v>
                </c:pt>
                <c:pt idx="2">
                  <c:v>1.6605626383217318</c:v>
                </c:pt>
                <c:pt idx="3">
                  <c:v>1.4639147646900352</c:v>
                </c:pt>
                <c:pt idx="4">
                  <c:v>1.5910059838711317</c:v>
                </c:pt>
                <c:pt idx="5">
                  <c:v>1.4096496021576224</c:v>
                </c:pt>
              </c:numCache>
            </c:numRef>
          </c:val>
          <c:extLst>
            <c:ext xmlns:c16="http://schemas.microsoft.com/office/drawing/2014/chart" uri="{C3380CC4-5D6E-409C-BE32-E72D297353CC}">
              <c16:uniqueId val="{0000002D-08F3-46D7-BF34-FCCF3F5BA224}"/>
            </c:ext>
          </c:extLst>
        </c:ser>
        <c:ser>
          <c:idx val="4"/>
          <c:order val="5"/>
          <c:tx>
            <c:v>SASPA</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CHARGES_PRODUITS!$C$41:$H$41</c:f>
              <c:strCache>
                <c:ptCount val="6"/>
                <c:pt idx="0">
                  <c:v>2023</c:v>
                </c:pt>
                <c:pt idx="1">
                  <c:v>2024(p)</c:v>
                </c:pt>
                <c:pt idx="2">
                  <c:v>2025(p)</c:v>
                </c:pt>
                <c:pt idx="3">
                  <c:v>2026(p)</c:v>
                </c:pt>
                <c:pt idx="4">
                  <c:v>2027(p)</c:v>
                </c:pt>
                <c:pt idx="5">
                  <c:v>2028(p)</c:v>
                </c:pt>
              </c:strCache>
            </c:strRef>
          </c:cat>
          <c:val>
            <c:numRef>
              <c:f>CHARGES_PRODUITS!$C$52:$H$52</c:f>
              <c:numCache>
                <c:formatCode>#\ ##0.0</c:formatCode>
                <c:ptCount val="6"/>
                <c:pt idx="0">
                  <c:v>-2.2384435306136201E-2</c:v>
                </c:pt>
                <c:pt idx="1">
                  <c:v>0.36791517817055858</c:v>
                </c:pt>
                <c:pt idx="2">
                  <c:v>0.10059296971105852</c:v>
                </c:pt>
                <c:pt idx="3">
                  <c:v>0.10562673158071294</c:v>
                </c:pt>
                <c:pt idx="4">
                  <c:v>0.11158399915631854</c:v>
                </c:pt>
                <c:pt idx="5">
                  <c:v>0.12047660491796856</c:v>
                </c:pt>
              </c:numCache>
            </c:numRef>
          </c:val>
          <c:extLst>
            <c:ext xmlns:c16="http://schemas.microsoft.com/office/drawing/2014/chart" uri="{C3380CC4-5D6E-409C-BE32-E72D297353CC}">
              <c16:uniqueId val="{0000002E-08F3-46D7-BF34-FCCF3F5BA224}"/>
            </c:ext>
          </c:extLst>
        </c:ser>
        <c:dLbls>
          <c:showLegendKey val="0"/>
          <c:showVal val="0"/>
          <c:showCatName val="0"/>
          <c:showSerName val="0"/>
          <c:showPercent val="0"/>
          <c:showBubbleSize val="0"/>
        </c:dLbls>
        <c:gapWidth val="150"/>
        <c:axId val="445439040"/>
        <c:axId val="445435904"/>
      </c:barChart>
      <c:lineChart>
        <c:grouping val="standard"/>
        <c:varyColors val="0"/>
        <c:ser>
          <c:idx val="5"/>
          <c:order val="4"/>
          <c:tx>
            <c:v>Evolution des recettes totales</c:v>
          </c:tx>
          <c:spPr>
            <a:ln w="31750" cap="rnd">
              <a:solidFill>
                <a:schemeClr val="accent5">
                  <a:lumMod val="60000"/>
                </a:schemeClr>
              </a:solidFill>
              <a:round/>
            </a:ln>
            <a:effectLst>
              <a:outerShdw blurRad="40000" dist="23000" dir="5400000" rotWithShape="0">
                <a:srgbClr val="000000">
                  <a:alpha val="35000"/>
                </a:srgbClr>
              </a:outerShdw>
            </a:effectLst>
          </c:spPr>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Pt>
            <c:idx val="2"/>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0-08F3-46D7-BF34-FCCF3F5BA224}"/>
              </c:ext>
            </c:extLst>
          </c:dPt>
          <c:dPt>
            <c:idx val="3"/>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2-08F3-46D7-BF34-FCCF3F5BA224}"/>
              </c:ext>
            </c:extLst>
          </c:dPt>
          <c:dPt>
            <c:idx val="4"/>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4-08F3-46D7-BF34-FCCF3F5BA224}"/>
              </c:ext>
            </c:extLst>
          </c:dPt>
          <c:dPt>
            <c:idx val="5"/>
            <c:marker>
              <c:symbol val="circle"/>
              <c:size val="6"/>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bubble3D val="0"/>
            <c:spPr>
              <a:ln w="31750" cap="rnd">
                <a:solidFill>
                  <a:schemeClr val="accent5">
                    <a:lumMod val="60000"/>
                  </a:schemeClr>
                </a:solidFill>
                <a:round/>
              </a:ln>
              <a:effectLst>
                <a:outerShdw blurRad="40000" dist="23000" dir="5400000" rotWithShape="0">
                  <a:srgbClr val="000000">
                    <a:alpha val="35000"/>
                  </a:srgbClr>
                </a:outerShdw>
              </a:effectLst>
            </c:spPr>
            <c:extLst>
              <c:ext xmlns:c16="http://schemas.microsoft.com/office/drawing/2014/chart" uri="{C3380CC4-5D6E-409C-BE32-E72D297353CC}">
                <c16:uniqueId val="{00000036-08F3-46D7-BF34-FCCF3F5BA224}"/>
              </c:ext>
            </c:extLst>
          </c:dPt>
          <c:dLbls>
            <c:dLbl>
              <c:idx val="0"/>
              <c:layout>
                <c:manualLayout>
                  <c:x val="-7.5448209661130514E-2"/>
                  <c:y val="3.55664922109128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8F3-46D7-BF34-FCCF3F5BA224}"/>
                </c:ext>
              </c:extLst>
            </c:dLbl>
            <c:dLbl>
              <c:idx val="1"/>
              <c:layout>
                <c:manualLayout>
                  <c:x val="-6.8150428961393478E-2"/>
                  <c:y val="1.005408993043518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08F3-46D7-BF34-FCCF3F5BA224}"/>
                </c:ext>
              </c:extLst>
            </c:dLbl>
            <c:dLbl>
              <c:idx val="2"/>
              <c:layout>
                <c:manualLayout>
                  <c:x val="-3.9329429101380875E-2"/>
                  <c:y val="-6.1090571513379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08F3-46D7-BF34-FCCF3F5BA224}"/>
                </c:ext>
              </c:extLst>
            </c:dLbl>
            <c:dLbl>
              <c:idx val="3"/>
              <c:layout>
                <c:manualLayout>
                  <c:x val="-3.1487166155046042E-2"/>
                  <c:y val="-6.499170060518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08F3-46D7-BF34-FCCF3F5BA224}"/>
                </c:ext>
              </c:extLst>
            </c:dLbl>
            <c:dLbl>
              <c:idx val="4"/>
              <c:layout>
                <c:manualLayout>
                  <c:x val="-3.3488236058754714E-2"/>
                  <c:y val="-5.91123648731838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08F3-46D7-BF34-FCCF3F5BA224}"/>
                </c:ext>
              </c:extLst>
            </c:dLbl>
            <c:dLbl>
              <c:idx val="5"/>
              <c:layout>
                <c:manualLayout>
                  <c:x val="-3.9440825325720685E-2"/>
                  <c:y val="-5.50719621182018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08F3-46D7-BF34-FCCF3F5BA22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CHARGES_PRODUITS!$C$41:$H$41</c:f>
              <c:strCache>
                <c:ptCount val="6"/>
                <c:pt idx="0">
                  <c:v>2023</c:v>
                </c:pt>
                <c:pt idx="1">
                  <c:v>2024(p)</c:v>
                </c:pt>
                <c:pt idx="2">
                  <c:v>2025(p)</c:v>
                </c:pt>
                <c:pt idx="3">
                  <c:v>2026(p)</c:v>
                </c:pt>
                <c:pt idx="4">
                  <c:v>2027(p)</c:v>
                </c:pt>
                <c:pt idx="5">
                  <c:v>2028(p)</c:v>
                </c:pt>
              </c:strCache>
            </c:strRef>
          </c:cat>
          <c:val>
            <c:numRef>
              <c:f>CHARGES_PRODUITS!$C$31:$H$31</c:f>
              <c:numCache>
                <c:formatCode>0.0%</c:formatCode>
                <c:ptCount val="6"/>
                <c:pt idx="0">
                  <c:v>2.2751729550209543E-2</c:v>
                </c:pt>
                <c:pt idx="1">
                  <c:v>3.8930383447187911E-2</c:v>
                </c:pt>
                <c:pt idx="2">
                  <c:v>3.3396406362335096E-2</c:v>
                </c:pt>
                <c:pt idx="3">
                  <c:v>3.3481776627156457E-2</c:v>
                </c:pt>
                <c:pt idx="4">
                  <c:v>3.3853625813726751E-2</c:v>
                </c:pt>
                <c:pt idx="5">
                  <c:v>3.221724814724336E-2</c:v>
                </c:pt>
              </c:numCache>
            </c:numRef>
          </c:val>
          <c:smooth val="0"/>
          <c:extLst>
            <c:ext xmlns:c16="http://schemas.microsoft.com/office/drawing/2014/chart" uri="{C3380CC4-5D6E-409C-BE32-E72D297353CC}">
              <c16:uniqueId val="{00000039-08F3-46D7-BF34-FCCF3F5BA224}"/>
            </c:ext>
          </c:extLst>
        </c:ser>
        <c:dLbls>
          <c:showLegendKey val="0"/>
          <c:showVal val="0"/>
          <c:showCatName val="0"/>
          <c:showSerName val="0"/>
          <c:showPercent val="0"/>
          <c:showBubbleSize val="0"/>
        </c:dLbls>
        <c:marker val="1"/>
        <c:smooth val="0"/>
        <c:axId val="445436688"/>
        <c:axId val="445433160"/>
      </c:lineChart>
      <c:catAx>
        <c:axId val="445439040"/>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435904"/>
        <c:crosses val="autoZero"/>
        <c:auto val="1"/>
        <c:lblAlgn val="ctr"/>
        <c:lblOffset val="100"/>
        <c:noMultiLvlLbl val="0"/>
      </c:catAx>
      <c:valAx>
        <c:axId val="445435904"/>
        <c:scaling>
          <c:orientation val="minMax"/>
          <c:max val="2.5"/>
          <c:min val="-0.5"/>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Contribution à l'évolution (en points)</a:t>
                </a:r>
              </a:p>
            </c:rich>
          </c:tx>
          <c:layout>
            <c:manualLayout>
              <c:xMode val="edge"/>
              <c:yMode val="edge"/>
              <c:x val="2.3157915787579118E-2"/>
              <c:y val="0.190194668868666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439040"/>
        <c:crosses val="autoZero"/>
        <c:crossBetween val="between"/>
        <c:majorUnit val="1"/>
      </c:valAx>
      <c:valAx>
        <c:axId val="445433160"/>
        <c:scaling>
          <c:orientation val="minMax"/>
          <c:max val="4.0000000000000008E-2"/>
          <c:min val="2.0000000000000004E-2"/>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fr-FR"/>
                  <a:t>Evolution en %</a:t>
                </a:r>
              </a:p>
            </c:rich>
          </c:tx>
          <c:layout>
            <c:manualLayout>
              <c:xMode val="edge"/>
              <c:yMode val="edge"/>
              <c:x val="0.97097308117269443"/>
              <c:y val="0.33683049883730942"/>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445436688"/>
        <c:crosses val="max"/>
        <c:crossBetween val="between"/>
        <c:majorUnit val="1.0000000000000002E-2"/>
      </c:valAx>
      <c:catAx>
        <c:axId val="445436688"/>
        <c:scaling>
          <c:orientation val="minMax"/>
        </c:scaling>
        <c:delete val="1"/>
        <c:axPos val="b"/>
        <c:numFmt formatCode="General" sourceLinked="1"/>
        <c:majorTickMark val="none"/>
        <c:minorTickMark val="none"/>
        <c:tickLblPos val="nextTo"/>
        <c:crossAx val="445433160"/>
        <c:crosses val="autoZero"/>
        <c:auto val="1"/>
        <c:lblAlgn val="ctr"/>
        <c:lblOffset val="100"/>
        <c:noMultiLvlLbl val="0"/>
      </c:catAx>
      <c:spPr>
        <a:noFill/>
        <a:ln>
          <a:noFill/>
        </a:ln>
        <a:effectLst/>
      </c:spPr>
    </c:plotArea>
    <c:legend>
      <c:legendPos val="b"/>
      <c:legendEntry>
        <c:idx val="5"/>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sv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342900</xdr:colOff>
      <xdr:row>6</xdr:row>
      <xdr:rowOff>85725</xdr:rowOff>
    </xdr:from>
    <xdr:to>
      <xdr:col>1</xdr:col>
      <xdr:colOff>856124</xdr:colOff>
      <xdr:row>20</xdr:row>
      <xdr:rowOff>93451</xdr:rowOff>
    </xdr:to>
    <xdr:grpSp>
      <xdr:nvGrpSpPr>
        <xdr:cNvPr id="2" name="Groupe 1">
          <a:extLst>
            <a:ext uri="{FF2B5EF4-FFF2-40B4-BE49-F238E27FC236}">
              <a16:creationId xmlns:a16="http://schemas.microsoft.com/office/drawing/2014/main" id="{7CE2BB84-2B2E-44CA-881B-5CF66CB7D36D}"/>
            </a:ext>
          </a:extLst>
        </xdr:cNvPr>
        <xdr:cNvGrpSpPr/>
      </xdr:nvGrpSpPr>
      <xdr:grpSpPr>
        <a:xfrm>
          <a:off x="342900" y="1038225"/>
          <a:ext cx="2164224" cy="2230226"/>
          <a:chOff x="18887" y="366497"/>
          <a:chExt cx="2161049" cy="2274676"/>
        </a:xfrm>
      </xdr:grpSpPr>
      <xdr:sp macro="" textlink="">
        <xdr:nvSpPr>
          <xdr:cNvPr id="3" name="Flèche : bas 2">
            <a:extLst>
              <a:ext uri="{FF2B5EF4-FFF2-40B4-BE49-F238E27FC236}">
                <a16:creationId xmlns:a16="http://schemas.microsoft.com/office/drawing/2014/main" id="{47DE6899-4E94-4075-AE3F-6BCFDB052CAC}"/>
              </a:ext>
            </a:extLst>
          </xdr:cNvPr>
          <xdr:cNvSpPr/>
        </xdr:nvSpPr>
        <xdr:spPr>
          <a:xfrm>
            <a:off x="18887" y="366497"/>
            <a:ext cx="2161049" cy="2274676"/>
          </a:xfrm>
          <a:prstGeom prst="downArrow">
            <a:avLst/>
          </a:prstGeom>
        </xdr:spPr>
        <xdr:style>
          <a:lnRef idx="0">
            <a:schemeClr val="lt1">
              <a:hueOff val="0"/>
              <a:satOff val="0"/>
              <a:lumOff val="0"/>
              <a:alphaOff val="0"/>
            </a:schemeClr>
          </a:lnRef>
          <a:fillRef idx="3">
            <a:schemeClr val="accent5">
              <a:shade val="50000"/>
              <a:hueOff val="0"/>
              <a:satOff val="0"/>
              <a:lumOff val="0"/>
              <a:alphaOff val="0"/>
            </a:schemeClr>
          </a:fillRef>
          <a:effectRef idx="3">
            <a:schemeClr val="accent5">
              <a:shade val="50000"/>
              <a:hueOff val="0"/>
              <a:satOff val="0"/>
              <a:lumOff val="0"/>
              <a:alphaOff val="0"/>
            </a:schemeClr>
          </a:effectRef>
          <a:fontRef idx="minor">
            <a:schemeClr val="lt1"/>
          </a:fontRef>
        </xdr:style>
      </xdr:sp>
      <xdr:sp macro="" textlink="">
        <xdr:nvSpPr>
          <xdr:cNvPr id="4" name="Flèche : bas 4">
            <a:extLst>
              <a:ext uri="{FF2B5EF4-FFF2-40B4-BE49-F238E27FC236}">
                <a16:creationId xmlns:a16="http://schemas.microsoft.com/office/drawing/2014/main" id="{6F5D0EA9-AD94-4056-84D9-1A5C8BEF65BF}"/>
              </a:ext>
            </a:extLst>
          </xdr:cNvPr>
          <xdr:cNvSpPr txBox="1"/>
        </xdr:nvSpPr>
        <xdr:spPr>
          <a:xfrm>
            <a:off x="559149" y="366497"/>
            <a:ext cx="1080525" cy="1734414"/>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endParaRPr lang="fr-FR" sz="1200" b="1" kern="1200"/>
          </a:p>
          <a:p>
            <a:pPr marL="0" lvl="0" indent="0" algn="ctr" defTabSz="533400">
              <a:lnSpc>
                <a:spcPct val="90000"/>
              </a:lnSpc>
              <a:spcBef>
                <a:spcPct val="0"/>
              </a:spcBef>
              <a:spcAft>
                <a:spcPct val="35000"/>
              </a:spcAft>
              <a:buNone/>
            </a:pPr>
            <a:endParaRPr lang="fr-FR" sz="1200" b="1" kern="1200"/>
          </a:p>
          <a:p>
            <a:pPr marL="0" lvl="0" indent="0" algn="ctr" defTabSz="533400">
              <a:lnSpc>
                <a:spcPct val="90000"/>
              </a:lnSpc>
              <a:spcBef>
                <a:spcPct val="0"/>
              </a:spcBef>
              <a:spcAft>
                <a:spcPct val="35000"/>
              </a:spcAft>
              <a:buNone/>
            </a:pPr>
            <a:endParaRPr lang="fr-FR" sz="1200" b="1" kern="1200"/>
          </a:p>
          <a:p>
            <a:pPr marL="0" lvl="0" indent="0" algn="ctr" defTabSz="533400">
              <a:lnSpc>
                <a:spcPct val="90000"/>
              </a:lnSpc>
              <a:spcBef>
                <a:spcPct val="0"/>
              </a:spcBef>
              <a:spcAft>
                <a:spcPct val="35000"/>
              </a:spcAft>
              <a:buNone/>
            </a:pPr>
            <a:endParaRPr lang="fr-FR" sz="1200" b="1" kern="1200"/>
          </a:p>
          <a:p>
            <a:pPr marL="0" lvl="0" indent="0" algn="ctr" defTabSz="533400">
              <a:lnSpc>
                <a:spcPct val="90000"/>
              </a:lnSpc>
              <a:spcBef>
                <a:spcPct val="0"/>
              </a:spcBef>
              <a:spcAft>
                <a:spcPct val="35000"/>
              </a:spcAft>
              <a:buNone/>
            </a:pPr>
            <a:endParaRPr lang="fr-FR" sz="1200" b="1" kern="1200"/>
          </a:p>
          <a:p>
            <a:pPr marL="0" lvl="0" indent="0" algn="ctr" defTabSz="533400">
              <a:lnSpc>
                <a:spcPct val="90000"/>
              </a:lnSpc>
              <a:spcBef>
                <a:spcPct val="0"/>
              </a:spcBef>
              <a:spcAft>
                <a:spcPct val="35000"/>
              </a:spcAft>
              <a:buNone/>
            </a:pPr>
            <a:r>
              <a:rPr lang="fr-FR" sz="1200" b="1" kern="1200"/>
              <a:t>personnes protégées en maladie</a:t>
            </a:r>
          </a:p>
          <a:p>
            <a:pPr marL="0" lvl="0" indent="0" algn="ctr" defTabSz="533400">
              <a:lnSpc>
                <a:spcPct val="90000"/>
              </a:lnSpc>
              <a:spcBef>
                <a:spcPct val="0"/>
              </a:spcBef>
              <a:spcAft>
                <a:spcPct val="35000"/>
              </a:spcAft>
              <a:buNone/>
            </a:pPr>
            <a:r>
              <a:rPr lang="fr-FR" sz="1400" b="1" kern="1200"/>
              <a:t>0,0 % </a:t>
            </a:r>
          </a:p>
        </xdr:txBody>
      </xdr:sp>
    </xdr:grpSp>
    <xdr:clientData/>
  </xdr:twoCellAnchor>
  <xdr:twoCellAnchor editAs="oneCell">
    <xdr:from>
      <xdr:col>0</xdr:col>
      <xdr:colOff>1009650</xdr:colOff>
      <xdr:row>7</xdr:row>
      <xdr:rowOff>57150</xdr:rowOff>
    </xdr:from>
    <xdr:to>
      <xdr:col>1</xdr:col>
      <xdr:colOff>193117</xdr:colOff>
      <xdr:row>12</xdr:row>
      <xdr:rowOff>28574</xdr:rowOff>
    </xdr:to>
    <xdr:pic>
      <xdr:nvPicPr>
        <xdr:cNvPr id="5" name="Image 4">
          <a:extLst>
            <a:ext uri="{FF2B5EF4-FFF2-40B4-BE49-F238E27FC236}">
              <a16:creationId xmlns:a16="http://schemas.microsoft.com/office/drawing/2014/main" id="{DB47884B-4057-4D9E-A715-CA0EEE2B3B48}"/>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alphaModFix amt="46000"/>
          <a:extLst>
            <a:ext uri="{BEBA8EAE-BF5A-486C-A8C5-ECC9F3942E4B}">
              <a14:imgProps xmlns:a14="http://schemas.microsoft.com/office/drawing/2010/main">
                <a14:imgLayer r:embed="rId2">
                  <a14:imgEffect>
                    <a14:artisticMarker/>
                  </a14:imgEffect>
                </a14:imgLayer>
              </a14:imgProps>
            </a:ext>
          </a:extLst>
        </a:blip>
        <a:stretch>
          <a:fillRect/>
        </a:stretch>
      </xdr:blipFill>
      <xdr:spPr>
        <a:xfrm>
          <a:off x="1009650" y="1190625"/>
          <a:ext cx="831292" cy="781049"/>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1</xdr:col>
      <xdr:colOff>723900</xdr:colOff>
      <xdr:row>8</xdr:row>
      <xdr:rowOff>9525</xdr:rowOff>
    </xdr:from>
    <xdr:to>
      <xdr:col>3</xdr:col>
      <xdr:colOff>446738</xdr:colOff>
      <xdr:row>21</xdr:row>
      <xdr:rowOff>57157</xdr:rowOff>
    </xdr:to>
    <xdr:grpSp>
      <xdr:nvGrpSpPr>
        <xdr:cNvPr id="6" name="Groupe 5">
          <a:extLst>
            <a:ext uri="{FF2B5EF4-FFF2-40B4-BE49-F238E27FC236}">
              <a16:creationId xmlns:a16="http://schemas.microsoft.com/office/drawing/2014/main" id="{E2DDD083-7402-4620-AB71-40089B1B087B}"/>
            </a:ext>
          </a:extLst>
        </xdr:cNvPr>
        <xdr:cNvGrpSpPr/>
      </xdr:nvGrpSpPr>
      <xdr:grpSpPr>
        <a:xfrm>
          <a:off x="2374900" y="1279525"/>
          <a:ext cx="1903005" cy="2111382"/>
          <a:chOff x="2359156" y="400047"/>
          <a:chExt cx="1904063" cy="2152657"/>
        </a:xfrm>
      </xdr:grpSpPr>
      <xdr:sp macro="" textlink="">
        <xdr:nvSpPr>
          <xdr:cNvPr id="7" name="Flèche : bas 6">
            <a:extLst>
              <a:ext uri="{FF2B5EF4-FFF2-40B4-BE49-F238E27FC236}">
                <a16:creationId xmlns:a16="http://schemas.microsoft.com/office/drawing/2014/main" id="{07427FF2-BC51-41E6-AB07-BC98604ADCA6}"/>
              </a:ext>
            </a:extLst>
          </xdr:cNvPr>
          <xdr:cNvSpPr/>
        </xdr:nvSpPr>
        <xdr:spPr>
          <a:xfrm>
            <a:off x="2359156" y="400047"/>
            <a:ext cx="1904063" cy="2152657"/>
          </a:xfrm>
          <a:prstGeom prst="downArrow">
            <a:avLst/>
          </a:prstGeom>
        </xdr:spPr>
        <xdr:style>
          <a:lnRef idx="0">
            <a:schemeClr val="lt1">
              <a:hueOff val="0"/>
              <a:satOff val="0"/>
              <a:lumOff val="0"/>
              <a:alphaOff val="0"/>
            </a:schemeClr>
          </a:lnRef>
          <a:fillRef idx="3">
            <a:schemeClr val="accent5">
              <a:shade val="50000"/>
              <a:hueOff val="126486"/>
              <a:satOff val="-2798"/>
              <a:lumOff val="20993"/>
              <a:alphaOff val="0"/>
            </a:schemeClr>
          </a:fillRef>
          <a:effectRef idx="3">
            <a:schemeClr val="accent5">
              <a:shade val="50000"/>
              <a:hueOff val="126486"/>
              <a:satOff val="-2798"/>
              <a:lumOff val="20993"/>
              <a:alphaOff val="0"/>
            </a:schemeClr>
          </a:effectRef>
          <a:fontRef idx="minor">
            <a:schemeClr val="lt1"/>
          </a:fontRef>
        </xdr:style>
      </xdr:sp>
      <xdr:sp macro="" textlink="">
        <xdr:nvSpPr>
          <xdr:cNvPr id="8" name="Flèche : bas 4">
            <a:extLst>
              <a:ext uri="{FF2B5EF4-FFF2-40B4-BE49-F238E27FC236}">
                <a16:creationId xmlns:a16="http://schemas.microsoft.com/office/drawing/2014/main" id="{7F5046BE-0C6C-485B-A098-F5CBD59BECF1}"/>
              </a:ext>
            </a:extLst>
          </xdr:cNvPr>
          <xdr:cNvSpPr txBox="1"/>
        </xdr:nvSpPr>
        <xdr:spPr>
          <a:xfrm>
            <a:off x="2835172" y="400047"/>
            <a:ext cx="952031" cy="1676641"/>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fr-FR" sz="1400" b="1" kern="1200"/>
              <a:t> </a:t>
            </a:r>
          </a:p>
          <a:p>
            <a:pPr marL="0" lvl="0" indent="0" algn="ctr" defTabSz="622300">
              <a:lnSpc>
                <a:spcPct val="90000"/>
              </a:lnSpc>
              <a:spcBef>
                <a:spcPct val="0"/>
              </a:spcBef>
              <a:spcAft>
                <a:spcPct val="35000"/>
              </a:spcAft>
              <a:buNone/>
            </a:pPr>
            <a:endParaRPr lang="fr-FR" sz="1400" b="1" kern="1200"/>
          </a:p>
          <a:p>
            <a:pPr marL="0" lvl="0" indent="0" algn="ctr" defTabSz="622300">
              <a:lnSpc>
                <a:spcPct val="90000"/>
              </a:lnSpc>
              <a:spcBef>
                <a:spcPct val="0"/>
              </a:spcBef>
              <a:spcAft>
                <a:spcPct val="35000"/>
              </a:spcAft>
              <a:buNone/>
            </a:pPr>
            <a:endParaRPr lang="fr-FR" sz="1400" b="1" kern="1200"/>
          </a:p>
          <a:p>
            <a:pPr marL="0" lvl="0" indent="0" algn="ctr" defTabSz="622300">
              <a:lnSpc>
                <a:spcPct val="90000"/>
              </a:lnSpc>
              <a:spcBef>
                <a:spcPct val="0"/>
              </a:spcBef>
              <a:spcAft>
                <a:spcPct val="35000"/>
              </a:spcAft>
              <a:buNone/>
            </a:pPr>
            <a:endParaRPr lang="fr-FR" sz="1050" b="1" kern="1200"/>
          </a:p>
          <a:p>
            <a:pPr marL="0" lvl="0" indent="0" algn="ctr" defTabSz="622300">
              <a:lnSpc>
                <a:spcPct val="90000"/>
              </a:lnSpc>
              <a:spcBef>
                <a:spcPct val="0"/>
              </a:spcBef>
              <a:spcAft>
                <a:spcPct val="35000"/>
              </a:spcAft>
              <a:buNone/>
            </a:pPr>
            <a:r>
              <a:rPr lang="fr-FR" sz="1100" b="1" kern="1200"/>
              <a:t>Familles bénéficiaires de prestations familiales</a:t>
            </a:r>
          </a:p>
          <a:p>
            <a:pPr marL="0" lvl="0" indent="0" algn="ctr" defTabSz="622300">
              <a:lnSpc>
                <a:spcPct val="90000"/>
              </a:lnSpc>
              <a:spcBef>
                <a:spcPct val="0"/>
              </a:spcBef>
              <a:spcAft>
                <a:spcPct val="35000"/>
              </a:spcAft>
              <a:buNone/>
            </a:pPr>
            <a:r>
              <a:rPr lang="fr-FR" sz="1200" b="1" kern="1200"/>
              <a:t>- 1,3 %</a:t>
            </a:r>
          </a:p>
        </xdr:txBody>
      </xdr:sp>
    </xdr:grpSp>
    <xdr:clientData/>
  </xdr:twoCellAnchor>
  <xdr:twoCellAnchor>
    <xdr:from>
      <xdr:col>0</xdr:col>
      <xdr:colOff>0</xdr:colOff>
      <xdr:row>1</xdr:row>
      <xdr:rowOff>26460</xdr:rowOff>
    </xdr:from>
    <xdr:to>
      <xdr:col>4</xdr:col>
      <xdr:colOff>57150</xdr:colOff>
      <xdr:row>2</xdr:row>
      <xdr:rowOff>121709</xdr:rowOff>
    </xdr:to>
    <xdr:sp macro="" textlink="">
      <xdr:nvSpPr>
        <xdr:cNvPr id="9" name="ZoneTexte 8">
          <a:extLst>
            <a:ext uri="{FF2B5EF4-FFF2-40B4-BE49-F238E27FC236}">
              <a16:creationId xmlns:a16="http://schemas.microsoft.com/office/drawing/2014/main" id="{860182B3-BA74-4A90-8B71-FDBF7ADE8D60}"/>
            </a:ext>
          </a:extLst>
        </xdr:cNvPr>
        <xdr:cNvSpPr txBox="1"/>
      </xdr:nvSpPr>
      <xdr:spPr>
        <a:xfrm>
          <a:off x="0" y="185210"/>
          <a:ext cx="4650317" cy="25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Prévisions démographiques 2024 - 2028 (rythme annuel moyen)</a:t>
          </a:r>
        </a:p>
      </xdr:txBody>
    </xdr:sp>
    <xdr:clientData/>
  </xdr:twoCellAnchor>
  <xdr:twoCellAnchor editAs="oneCell">
    <xdr:from>
      <xdr:col>1</xdr:col>
      <xdr:colOff>1238250</xdr:colOff>
      <xdr:row>8</xdr:row>
      <xdr:rowOff>66675</xdr:rowOff>
    </xdr:from>
    <xdr:to>
      <xdr:col>2</xdr:col>
      <xdr:colOff>704850</xdr:colOff>
      <xdr:row>12</xdr:row>
      <xdr:rowOff>149123</xdr:rowOff>
    </xdr:to>
    <xdr:pic>
      <xdr:nvPicPr>
        <xdr:cNvPr id="10" name="Image 9">
          <a:extLst>
            <a:ext uri="{FF2B5EF4-FFF2-40B4-BE49-F238E27FC236}">
              <a16:creationId xmlns:a16="http://schemas.microsoft.com/office/drawing/2014/main" id="{C976DF1E-D8F2-48AF-AF27-594F9820FE86}"/>
            </a:ext>
          </a:extLst>
        </xdr:cNvPr>
        <xdr:cNvPicPr>
          <a:picLocks noChangeAspect="1"/>
        </xdr:cNvPicPr>
      </xdr:nvPicPr>
      <xdr:blipFill>
        <a:blip xmlns:r="http://schemas.openxmlformats.org/officeDocument/2006/relationships" r:embed="rId3">
          <a:clrChange>
            <a:clrFrom>
              <a:srgbClr val="F6F6F6"/>
            </a:clrFrom>
            <a:clrTo>
              <a:srgbClr val="F6F6F6">
                <a:alpha val="0"/>
              </a:srgbClr>
            </a:clrTo>
          </a:clrChange>
          <a:alphaModFix amt="50000"/>
          <a:duotone>
            <a:schemeClr val="accent1">
              <a:shade val="45000"/>
              <a:satMod val="135000"/>
            </a:schemeClr>
            <a:prstClr val="white"/>
          </a:duotone>
        </a:blip>
        <a:stretch>
          <a:fillRect/>
        </a:stretch>
      </xdr:blipFill>
      <xdr:spPr>
        <a:xfrm>
          <a:off x="2886075" y="1362075"/>
          <a:ext cx="885825" cy="730148"/>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3</xdr:col>
      <xdr:colOff>361950</xdr:colOff>
      <xdr:row>5</xdr:row>
      <xdr:rowOff>133350</xdr:rowOff>
    </xdr:from>
    <xdr:to>
      <xdr:col>5</xdr:col>
      <xdr:colOff>724319</xdr:colOff>
      <xdr:row>19</xdr:row>
      <xdr:rowOff>66550</xdr:rowOff>
    </xdr:to>
    <xdr:grpSp>
      <xdr:nvGrpSpPr>
        <xdr:cNvPr id="11" name="Groupe 10">
          <a:extLst>
            <a:ext uri="{FF2B5EF4-FFF2-40B4-BE49-F238E27FC236}">
              <a16:creationId xmlns:a16="http://schemas.microsoft.com/office/drawing/2014/main" id="{FA0F0D87-C872-4822-9879-34BC6B3288B9}"/>
            </a:ext>
          </a:extLst>
        </xdr:cNvPr>
        <xdr:cNvGrpSpPr/>
      </xdr:nvGrpSpPr>
      <xdr:grpSpPr>
        <a:xfrm>
          <a:off x="4193117" y="927100"/>
          <a:ext cx="1886369" cy="2155700"/>
          <a:chOff x="4403953" y="347724"/>
          <a:chExt cx="1886369" cy="2200150"/>
        </a:xfrm>
      </xdr:grpSpPr>
      <xdr:sp macro="" textlink="">
        <xdr:nvSpPr>
          <xdr:cNvPr id="12" name="Flèche : bas 11">
            <a:extLst>
              <a:ext uri="{FF2B5EF4-FFF2-40B4-BE49-F238E27FC236}">
                <a16:creationId xmlns:a16="http://schemas.microsoft.com/office/drawing/2014/main" id="{746FD08A-7986-4F04-A2BF-F6CE7261EFDB}"/>
              </a:ext>
            </a:extLst>
          </xdr:cNvPr>
          <xdr:cNvSpPr/>
        </xdr:nvSpPr>
        <xdr:spPr>
          <a:xfrm>
            <a:off x="4403953" y="347724"/>
            <a:ext cx="1886369" cy="2200150"/>
          </a:xfrm>
          <a:prstGeom prst="downArrow">
            <a:avLst/>
          </a:prstGeom>
        </xdr:spPr>
        <xdr:style>
          <a:lnRef idx="0">
            <a:schemeClr val="lt1">
              <a:hueOff val="0"/>
              <a:satOff val="0"/>
              <a:lumOff val="0"/>
              <a:alphaOff val="0"/>
            </a:schemeClr>
          </a:lnRef>
          <a:fillRef idx="3">
            <a:schemeClr val="accent5">
              <a:shade val="50000"/>
              <a:hueOff val="252972"/>
              <a:satOff val="-5595"/>
              <a:lumOff val="41987"/>
              <a:alphaOff val="0"/>
            </a:schemeClr>
          </a:fillRef>
          <a:effectRef idx="3">
            <a:schemeClr val="accent5">
              <a:shade val="50000"/>
              <a:hueOff val="252972"/>
              <a:satOff val="-5595"/>
              <a:lumOff val="41987"/>
              <a:alphaOff val="0"/>
            </a:schemeClr>
          </a:effectRef>
          <a:fontRef idx="minor">
            <a:schemeClr val="lt1"/>
          </a:fontRef>
        </xdr:style>
      </xdr:sp>
      <xdr:sp macro="" textlink="">
        <xdr:nvSpPr>
          <xdr:cNvPr id="13" name="Flèche : bas 4">
            <a:extLst>
              <a:ext uri="{FF2B5EF4-FFF2-40B4-BE49-F238E27FC236}">
                <a16:creationId xmlns:a16="http://schemas.microsoft.com/office/drawing/2014/main" id="{66DF81F0-C05A-4F7C-AD99-E7D84BFCF9B6}"/>
              </a:ext>
            </a:extLst>
          </xdr:cNvPr>
          <xdr:cNvSpPr txBox="1"/>
        </xdr:nvSpPr>
        <xdr:spPr>
          <a:xfrm>
            <a:off x="4875545" y="347724"/>
            <a:ext cx="943185" cy="172855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endParaRPr lang="fr-FR" sz="1500" b="1" kern="1200"/>
          </a:p>
          <a:p>
            <a:pPr marL="0" lvl="0" indent="0" algn="ctr" defTabSz="666750">
              <a:lnSpc>
                <a:spcPct val="90000"/>
              </a:lnSpc>
              <a:spcBef>
                <a:spcPct val="0"/>
              </a:spcBef>
              <a:spcAft>
                <a:spcPct val="35000"/>
              </a:spcAft>
              <a:buNone/>
            </a:pPr>
            <a:r>
              <a:rPr lang="fr-FR" sz="1500" b="1" kern="1200"/>
              <a:t> </a:t>
            </a:r>
          </a:p>
          <a:p>
            <a:pPr marL="0" lvl="0" indent="0" algn="ctr" defTabSz="666750">
              <a:lnSpc>
                <a:spcPct val="90000"/>
              </a:lnSpc>
              <a:spcBef>
                <a:spcPct val="0"/>
              </a:spcBef>
              <a:spcAft>
                <a:spcPct val="35000"/>
              </a:spcAft>
              <a:buNone/>
            </a:pPr>
            <a:endParaRPr lang="fr-FR" sz="1500" b="1" kern="1200"/>
          </a:p>
          <a:p>
            <a:pPr marL="0" lvl="0" indent="0" algn="ctr" defTabSz="666750">
              <a:lnSpc>
                <a:spcPct val="90000"/>
              </a:lnSpc>
              <a:spcBef>
                <a:spcPct val="0"/>
              </a:spcBef>
              <a:spcAft>
                <a:spcPct val="35000"/>
              </a:spcAft>
              <a:buNone/>
            </a:pPr>
            <a:endParaRPr lang="fr-FR" sz="1200" b="1" kern="1200"/>
          </a:p>
          <a:p>
            <a:pPr marL="0" lvl="0" indent="0" algn="ctr" defTabSz="666750">
              <a:lnSpc>
                <a:spcPct val="90000"/>
              </a:lnSpc>
              <a:spcBef>
                <a:spcPct val="0"/>
              </a:spcBef>
              <a:spcAft>
                <a:spcPct val="35000"/>
              </a:spcAft>
              <a:buNone/>
            </a:pPr>
            <a:r>
              <a:rPr lang="fr-FR" sz="1200" kern="1200"/>
              <a:t>Actifs</a:t>
            </a:r>
            <a:r>
              <a:rPr lang="fr-FR" sz="1200" kern="1200" baseline="0"/>
              <a:t> c</a:t>
            </a:r>
            <a:r>
              <a:rPr lang="fr-FR" sz="1200" kern="1200"/>
              <a:t>otisants </a:t>
            </a:r>
          </a:p>
          <a:p>
            <a:pPr marL="0" lvl="0" indent="0" algn="ctr" defTabSz="666750">
              <a:lnSpc>
                <a:spcPct val="90000"/>
              </a:lnSpc>
              <a:spcBef>
                <a:spcPct val="0"/>
              </a:spcBef>
              <a:spcAft>
                <a:spcPct val="35000"/>
              </a:spcAft>
              <a:buNone/>
            </a:pPr>
            <a:r>
              <a:rPr lang="fr-FR" sz="1400" b="1" kern="1200"/>
              <a:t>+ 1,1 %</a:t>
            </a:r>
            <a:endParaRPr lang="fr-FR" sz="1400" kern="1200"/>
          </a:p>
        </xdr:txBody>
      </xdr:sp>
    </xdr:grpSp>
    <xdr:clientData/>
  </xdr:twoCellAnchor>
  <xdr:twoCellAnchor editAs="oneCell">
    <xdr:from>
      <xdr:col>4</xdr:col>
      <xdr:colOff>114300</xdr:colOff>
      <xdr:row>6</xdr:row>
      <xdr:rowOff>66675</xdr:rowOff>
    </xdr:from>
    <xdr:to>
      <xdr:col>5</xdr:col>
      <xdr:colOff>209551</xdr:colOff>
      <xdr:row>11</xdr:row>
      <xdr:rowOff>16885</xdr:rowOff>
    </xdr:to>
    <xdr:pic>
      <xdr:nvPicPr>
        <xdr:cNvPr id="14" name="Image 13">
          <a:extLst>
            <a:ext uri="{FF2B5EF4-FFF2-40B4-BE49-F238E27FC236}">
              <a16:creationId xmlns:a16="http://schemas.microsoft.com/office/drawing/2014/main" id="{84924BC7-C1AB-4F7D-9166-88231211AA1E}"/>
            </a:ext>
          </a:extLst>
        </xdr:cNvPr>
        <xdr:cNvPicPr>
          <a:picLocks noChangeAspect="1"/>
        </xdr:cNvPicPr>
      </xdr:nvPicPr>
      <xdr:blipFill>
        <a:blip xmlns:r="http://schemas.openxmlformats.org/officeDocument/2006/relationships" r:embed="rId4">
          <a:duotone>
            <a:schemeClr val="accent1">
              <a:shade val="45000"/>
              <a:satMod val="135000"/>
            </a:schemeClr>
            <a:prstClr val="white"/>
          </a:duotone>
          <a:alphaModFix amt="48000"/>
        </a:blip>
        <a:stretch>
          <a:fillRect/>
        </a:stretch>
      </xdr:blipFill>
      <xdr:spPr>
        <a:xfrm>
          <a:off x="4705350" y="1038225"/>
          <a:ext cx="857251" cy="75983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5</xdr:col>
      <xdr:colOff>499534</xdr:colOff>
      <xdr:row>8</xdr:row>
      <xdr:rowOff>17992</xdr:rowOff>
    </xdr:from>
    <xdr:to>
      <xdr:col>8</xdr:col>
      <xdr:colOff>488108</xdr:colOff>
      <xdr:row>23</xdr:row>
      <xdr:rowOff>31953</xdr:rowOff>
    </xdr:to>
    <xdr:grpSp>
      <xdr:nvGrpSpPr>
        <xdr:cNvPr id="15" name="Groupe 14">
          <a:extLst>
            <a:ext uri="{FF2B5EF4-FFF2-40B4-BE49-F238E27FC236}">
              <a16:creationId xmlns:a16="http://schemas.microsoft.com/office/drawing/2014/main" id="{CD20AF99-0490-464A-A254-284B9E91C341}"/>
            </a:ext>
          </a:extLst>
        </xdr:cNvPr>
        <xdr:cNvGrpSpPr/>
      </xdr:nvGrpSpPr>
      <xdr:grpSpPr>
        <a:xfrm>
          <a:off x="5854701" y="1287992"/>
          <a:ext cx="2274574" cy="2395211"/>
          <a:chOff x="6387815" y="228524"/>
          <a:chExt cx="2274574" cy="2442836"/>
        </a:xfrm>
      </xdr:grpSpPr>
      <xdr:sp macro="" textlink="">
        <xdr:nvSpPr>
          <xdr:cNvPr id="16" name="Flèche : bas 15">
            <a:extLst>
              <a:ext uri="{FF2B5EF4-FFF2-40B4-BE49-F238E27FC236}">
                <a16:creationId xmlns:a16="http://schemas.microsoft.com/office/drawing/2014/main" id="{31AB6020-1DC2-42F4-8773-36C978AC8431}"/>
              </a:ext>
            </a:extLst>
          </xdr:cNvPr>
          <xdr:cNvSpPr/>
        </xdr:nvSpPr>
        <xdr:spPr>
          <a:xfrm>
            <a:off x="6387815" y="228524"/>
            <a:ext cx="2274574" cy="2442836"/>
          </a:xfrm>
          <a:prstGeom prst="downArrow">
            <a:avLst/>
          </a:prstGeom>
        </xdr:spPr>
        <xdr:style>
          <a:lnRef idx="0">
            <a:schemeClr val="lt1">
              <a:hueOff val="0"/>
              <a:satOff val="0"/>
              <a:lumOff val="0"/>
              <a:alphaOff val="0"/>
            </a:schemeClr>
          </a:lnRef>
          <a:fillRef idx="3">
            <a:schemeClr val="accent5">
              <a:shade val="50000"/>
              <a:hueOff val="126486"/>
              <a:satOff val="-2798"/>
              <a:lumOff val="20993"/>
              <a:alphaOff val="0"/>
            </a:schemeClr>
          </a:fillRef>
          <a:effectRef idx="3">
            <a:schemeClr val="accent5">
              <a:shade val="50000"/>
              <a:hueOff val="126486"/>
              <a:satOff val="-2798"/>
              <a:lumOff val="20993"/>
              <a:alphaOff val="0"/>
            </a:schemeClr>
          </a:effectRef>
          <a:fontRef idx="minor">
            <a:schemeClr val="lt1"/>
          </a:fontRef>
        </xdr:style>
      </xdr:sp>
      <xdr:sp macro="" textlink="">
        <xdr:nvSpPr>
          <xdr:cNvPr id="17" name="Flèche : bas 4">
            <a:extLst>
              <a:ext uri="{FF2B5EF4-FFF2-40B4-BE49-F238E27FC236}">
                <a16:creationId xmlns:a16="http://schemas.microsoft.com/office/drawing/2014/main" id="{8EEAA189-44B7-44BB-AAE6-D2F20AC3F2B3}"/>
              </a:ext>
            </a:extLst>
          </xdr:cNvPr>
          <xdr:cNvSpPr txBox="1"/>
        </xdr:nvSpPr>
        <xdr:spPr>
          <a:xfrm>
            <a:off x="6956459" y="228524"/>
            <a:ext cx="1137287" cy="1874193"/>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fr-FR" sz="1200" b="1" kern="1200"/>
              <a:t> </a:t>
            </a:r>
          </a:p>
          <a:p>
            <a:pPr marL="0" lvl="0" indent="0" algn="ctr" defTabSz="533400">
              <a:lnSpc>
                <a:spcPct val="90000"/>
              </a:lnSpc>
              <a:spcBef>
                <a:spcPct val="0"/>
              </a:spcBef>
              <a:spcAft>
                <a:spcPct val="35000"/>
              </a:spcAft>
              <a:buNone/>
            </a:pPr>
            <a:endParaRPr lang="fr-FR" sz="1200" b="1" kern="1200"/>
          </a:p>
          <a:p>
            <a:pPr marL="0" lvl="0" indent="0" algn="ctr" defTabSz="533400">
              <a:lnSpc>
                <a:spcPct val="90000"/>
              </a:lnSpc>
              <a:spcBef>
                <a:spcPct val="0"/>
              </a:spcBef>
              <a:spcAft>
                <a:spcPct val="35000"/>
              </a:spcAft>
              <a:buNone/>
            </a:pPr>
            <a:endParaRPr lang="fr-FR" sz="1100" b="1" kern="1200"/>
          </a:p>
          <a:p>
            <a:pPr marL="0" lvl="0" indent="0" algn="ctr" defTabSz="533400">
              <a:lnSpc>
                <a:spcPct val="90000"/>
              </a:lnSpc>
              <a:spcBef>
                <a:spcPct val="0"/>
              </a:spcBef>
              <a:spcAft>
                <a:spcPct val="35000"/>
              </a:spcAft>
              <a:buNone/>
            </a:pPr>
            <a:endParaRPr lang="fr-FR" sz="1100" b="1" kern="1200"/>
          </a:p>
          <a:p>
            <a:pPr marL="0" lvl="0" indent="0" algn="ctr" defTabSz="533400">
              <a:lnSpc>
                <a:spcPct val="90000"/>
              </a:lnSpc>
              <a:spcBef>
                <a:spcPct val="0"/>
              </a:spcBef>
              <a:spcAft>
                <a:spcPct val="35000"/>
              </a:spcAft>
              <a:buNone/>
            </a:pPr>
            <a:endParaRPr lang="fr-FR" sz="1100" b="1" kern="1200"/>
          </a:p>
          <a:p>
            <a:pPr marL="0" lvl="0" indent="0" algn="ctr" defTabSz="533400">
              <a:lnSpc>
                <a:spcPct val="90000"/>
              </a:lnSpc>
              <a:spcBef>
                <a:spcPct val="0"/>
              </a:spcBef>
              <a:spcAft>
                <a:spcPct val="35000"/>
              </a:spcAft>
              <a:buNone/>
            </a:pPr>
            <a:endParaRPr lang="fr-FR" sz="1100" b="1" kern="1200"/>
          </a:p>
          <a:p>
            <a:pPr marL="0" lvl="0" indent="0" algn="ctr" defTabSz="533400">
              <a:lnSpc>
                <a:spcPct val="90000"/>
              </a:lnSpc>
              <a:spcBef>
                <a:spcPct val="0"/>
              </a:spcBef>
              <a:spcAft>
                <a:spcPct val="35000"/>
              </a:spcAft>
              <a:buNone/>
            </a:pPr>
            <a:endParaRPr lang="fr-FR" sz="1200" b="1" kern="1200"/>
          </a:p>
          <a:p>
            <a:pPr marL="0" lvl="0" indent="0" algn="ctr" defTabSz="533400">
              <a:lnSpc>
                <a:spcPct val="90000"/>
              </a:lnSpc>
              <a:spcBef>
                <a:spcPct val="0"/>
              </a:spcBef>
              <a:spcAft>
                <a:spcPct val="35000"/>
              </a:spcAft>
              <a:buNone/>
            </a:pPr>
            <a:r>
              <a:rPr lang="fr-FR" sz="1200" b="1" kern="1200"/>
              <a:t>Bénéficiaires d'un avantage retraite</a:t>
            </a:r>
          </a:p>
          <a:p>
            <a:pPr marL="0" lvl="0" indent="0" algn="ctr" defTabSz="533400">
              <a:lnSpc>
                <a:spcPct val="90000"/>
              </a:lnSpc>
              <a:spcBef>
                <a:spcPct val="0"/>
              </a:spcBef>
              <a:spcAft>
                <a:spcPct val="35000"/>
              </a:spcAft>
              <a:buNone/>
            </a:pPr>
            <a:r>
              <a:rPr lang="fr-FR" sz="1400" b="1" kern="1200"/>
              <a:t>- 1,7 %</a:t>
            </a:r>
          </a:p>
        </xdr:txBody>
      </xdr:sp>
    </xdr:grpSp>
    <xdr:clientData/>
  </xdr:twoCellAnchor>
  <xdr:twoCellAnchor editAs="oneCell">
    <xdr:from>
      <xdr:col>6</xdr:col>
      <xdr:colOff>401108</xdr:colOff>
      <xdr:row>8</xdr:row>
      <xdr:rowOff>78317</xdr:rowOff>
    </xdr:from>
    <xdr:to>
      <xdr:col>7</xdr:col>
      <xdr:colOff>603250</xdr:colOff>
      <xdr:row>15</xdr:row>
      <xdr:rowOff>93081</xdr:rowOff>
    </xdr:to>
    <xdr:pic>
      <xdr:nvPicPr>
        <xdr:cNvPr id="18" name="Image 17">
          <a:extLst>
            <a:ext uri="{FF2B5EF4-FFF2-40B4-BE49-F238E27FC236}">
              <a16:creationId xmlns:a16="http://schemas.microsoft.com/office/drawing/2014/main" id="{2764981B-CCA6-4A08-B4D7-223E83EAD7EA}"/>
            </a:ext>
          </a:extLst>
        </xdr:cNvPr>
        <xdr:cNvPicPr>
          <a:picLocks noChangeAspect="1"/>
        </xdr:cNvPicPr>
      </xdr:nvPicPr>
      <xdr:blipFill>
        <a:blip xmlns:r="http://schemas.openxmlformats.org/officeDocument/2006/relationships" r:embed="rId5">
          <a:alphaModFix amt="50000"/>
          <a:duotone>
            <a:prstClr val="black"/>
            <a:schemeClr val="accent5">
              <a:tint val="45000"/>
              <a:satMod val="400000"/>
            </a:schemeClr>
          </a:duotone>
        </a:blip>
        <a:stretch>
          <a:fillRect/>
        </a:stretch>
      </xdr:blipFill>
      <xdr:spPr>
        <a:xfrm>
          <a:off x="6518275" y="1348317"/>
          <a:ext cx="964142" cy="1126014"/>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9</xdr:col>
      <xdr:colOff>258233</xdr:colOff>
      <xdr:row>1</xdr:row>
      <xdr:rowOff>61383</xdr:rowOff>
    </xdr:from>
    <xdr:to>
      <xdr:col>15</xdr:col>
      <xdr:colOff>334433</xdr:colOff>
      <xdr:row>2</xdr:row>
      <xdr:rowOff>156632</xdr:rowOff>
    </xdr:to>
    <xdr:sp macro="" textlink="">
      <xdr:nvSpPr>
        <xdr:cNvPr id="19" name="ZoneTexte 18">
          <a:extLst>
            <a:ext uri="{FF2B5EF4-FFF2-40B4-BE49-F238E27FC236}">
              <a16:creationId xmlns:a16="http://schemas.microsoft.com/office/drawing/2014/main" id="{5C669469-80CF-466D-9D7B-5730D914ED39}"/>
            </a:ext>
          </a:extLst>
        </xdr:cNvPr>
        <xdr:cNvSpPr txBox="1"/>
      </xdr:nvSpPr>
      <xdr:spPr>
        <a:xfrm>
          <a:off x="8661400" y="220133"/>
          <a:ext cx="4648200" cy="25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Prévisions financières 2024 - 2028 (rythme annuel moyen)</a:t>
          </a:r>
        </a:p>
      </xdr:txBody>
    </xdr:sp>
    <xdr:clientData/>
  </xdr:twoCellAnchor>
  <xdr:twoCellAnchor>
    <xdr:from>
      <xdr:col>9</xdr:col>
      <xdr:colOff>680509</xdr:colOff>
      <xdr:row>5</xdr:row>
      <xdr:rowOff>114299</xdr:rowOff>
    </xdr:from>
    <xdr:to>
      <xdr:col>17</xdr:col>
      <xdr:colOff>529167</xdr:colOff>
      <xdr:row>13</xdr:row>
      <xdr:rowOff>21166</xdr:rowOff>
    </xdr:to>
    <xdr:sp macro="" textlink="">
      <xdr:nvSpPr>
        <xdr:cNvPr id="20" name="Rectangle : coins arrondis 19">
          <a:extLst>
            <a:ext uri="{FF2B5EF4-FFF2-40B4-BE49-F238E27FC236}">
              <a16:creationId xmlns:a16="http://schemas.microsoft.com/office/drawing/2014/main" id="{0D11079D-FB0D-4683-8DC4-8B901B0CB2A4}"/>
            </a:ext>
          </a:extLst>
        </xdr:cNvPr>
        <xdr:cNvSpPr/>
      </xdr:nvSpPr>
      <xdr:spPr>
        <a:xfrm>
          <a:off x="9083676" y="908049"/>
          <a:ext cx="5944658" cy="1176867"/>
        </a:xfrm>
        <a:prstGeom prst="roundRect">
          <a:avLst>
            <a:gd name="adj" fmla="val 10000"/>
          </a:avLst>
        </a:prstGeom>
        <a:solidFill>
          <a:schemeClr val="bg1">
            <a:lumMod val="95000"/>
            <a:alpha val="90000"/>
          </a:schemeClr>
        </a:solidFill>
      </xdr:spPr>
      <xdr:style>
        <a:lnRef idx="1">
          <a:schemeClr val="dk2">
            <a:alpha val="90000"/>
            <a:tint val="40000"/>
            <a:hueOff val="0"/>
            <a:satOff val="0"/>
            <a:lumOff val="0"/>
            <a:alphaOff val="0"/>
          </a:schemeClr>
        </a:lnRef>
        <a:fillRef idx="1">
          <a:schemeClr val="dk2">
            <a:alpha val="90000"/>
            <a:tint val="40000"/>
            <a:hueOff val="0"/>
            <a:satOff val="0"/>
            <a:lumOff val="0"/>
            <a:alphaOff val="0"/>
          </a:schemeClr>
        </a:fillRef>
        <a:effectRef idx="2">
          <a:schemeClr val="dk2">
            <a:alpha val="90000"/>
            <a:tint val="40000"/>
            <a:hueOff val="0"/>
            <a:satOff val="0"/>
            <a:lumOff val="0"/>
            <a:alphaOff val="0"/>
          </a:schemeClr>
        </a:effectRef>
        <a:fontRef idx="minor">
          <a:schemeClr val="dk1">
            <a:hueOff val="0"/>
            <a:satOff val="0"/>
            <a:lumOff val="0"/>
            <a:alphaOff val="0"/>
          </a:schemeClr>
        </a:fontRef>
      </xdr:style>
    </xdr:sp>
    <xdr:clientData/>
  </xdr:twoCellAnchor>
  <xdr:twoCellAnchor editAs="oneCell">
    <xdr:from>
      <xdr:col>10</xdr:col>
      <xdr:colOff>48723</xdr:colOff>
      <xdr:row>5</xdr:row>
      <xdr:rowOff>95250</xdr:rowOff>
    </xdr:from>
    <xdr:to>
      <xdr:col>10</xdr:col>
      <xdr:colOff>732366</xdr:colOff>
      <xdr:row>9</xdr:row>
      <xdr:rowOff>131233</xdr:rowOff>
    </xdr:to>
    <xdr:pic>
      <xdr:nvPicPr>
        <xdr:cNvPr id="22" name="Graphique 21" descr="Pièces avec un remplissage uni">
          <a:extLst>
            <a:ext uri="{FF2B5EF4-FFF2-40B4-BE49-F238E27FC236}">
              <a16:creationId xmlns:a16="http://schemas.microsoft.com/office/drawing/2014/main" id="{A92DEFF9-702D-481D-8400-1E529522D8C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9213890" y="889000"/>
          <a:ext cx="683643" cy="670983"/>
        </a:xfrm>
        <a:prstGeom prst="rect">
          <a:avLst/>
        </a:prstGeom>
        <a:effectLst>
          <a:innerShdw blurRad="63500" dist="50800" dir="13500000">
            <a:prstClr val="black">
              <a:alpha val="50000"/>
            </a:prstClr>
          </a:innerShdw>
          <a:reflection blurRad="6350" stA="50000" endA="300" endPos="55000" dir="5400000" sy="-100000" algn="bl" rotWithShape="0"/>
        </a:effectLst>
      </xdr:spPr>
    </xdr:pic>
    <xdr:clientData/>
  </xdr:twoCellAnchor>
  <xdr:twoCellAnchor>
    <xdr:from>
      <xdr:col>13</xdr:col>
      <xdr:colOff>609600</xdr:colOff>
      <xdr:row>13</xdr:row>
      <xdr:rowOff>32917</xdr:rowOff>
    </xdr:from>
    <xdr:to>
      <xdr:col>17</xdr:col>
      <xdr:colOff>423333</xdr:colOff>
      <xdr:row>26</xdr:row>
      <xdr:rowOff>169332</xdr:rowOff>
    </xdr:to>
    <xdr:grpSp>
      <xdr:nvGrpSpPr>
        <xdr:cNvPr id="23" name="Groupe 22">
          <a:extLst>
            <a:ext uri="{FF2B5EF4-FFF2-40B4-BE49-F238E27FC236}">
              <a16:creationId xmlns:a16="http://schemas.microsoft.com/office/drawing/2014/main" id="{4943DDB5-6266-4F1A-870A-86D2422F8E30}"/>
            </a:ext>
          </a:extLst>
        </xdr:cNvPr>
        <xdr:cNvGrpSpPr/>
      </xdr:nvGrpSpPr>
      <xdr:grpSpPr>
        <a:xfrm>
          <a:off x="12060767" y="2096667"/>
          <a:ext cx="2861733" cy="2200165"/>
          <a:chOff x="2699320" y="1751623"/>
          <a:chExt cx="2768131" cy="2270468"/>
        </a:xfrm>
      </xdr:grpSpPr>
      <xdr:sp macro="" textlink="">
        <xdr:nvSpPr>
          <xdr:cNvPr id="24" name="Rectangle : avec coins arrondis en haut 23">
            <a:extLst>
              <a:ext uri="{FF2B5EF4-FFF2-40B4-BE49-F238E27FC236}">
                <a16:creationId xmlns:a16="http://schemas.microsoft.com/office/drawing/2014/main" id="{DB3A9462-8422-4C1F-8B56-FEE18F633B83}"/>
              </a:ext>
            </a:extLst>
          </xdr:cNvPr>
          <xdr:cNvSpPr/>
        </xdr:nvSpPr>
        <xdr:spPr>
          <a:xfrm rot="10800000">
            <a:off x="2699320" y="1790384"/>
            <a:ext cx="2768131" cy="2231707"/>
          </a:xfrm>
          <a:prstGeom prst="round2SameRect">
            <a:avLst>
              <a:gd name="adj1" fmla="val 10500"/>
              <a:gd name="adj2" fmla="val 0"/>
            </a:avLst>
          </a:prstGeom>
        </xdr:spPr>
        <xdr:style>
          <a:lnRef idx="0">
            <a:schemeClr val="lt2">
              <a:hueOff val="0"/>
              <a:satOff val="0"/>
              <a:lumOff val="0"/>
              <a:alphaOff val="0"/>
            </a:schemeClr>
          </a:lnRef>
          <a:fillRef idx="3">
            <a:schemeClr val="dk2">
              <a:hueOff val="0"/>
              <a:satOff val="0"/>
              <a:lumOff val="0"/>
              <a:alphaOff val="0"/>
            </a:schemeClr>
          </a:fillRef>
          <a:effectRef idx="3">
            <a:schemeClr val="dk2">
              <a:hueOff val="0"/>
              <a:satOff val="0"/>
              <a:lumOff val="0"/>
              <a:alphaOff val="0"/>
            </a:schemeClr>
          </a:effectRef>
          <a:fontRef idx="minor">
            <a:schemeClr val="lt1"/>
          </a:fontRef>
        </xdr:style>
      </xdr:sp>
      <xdr:sp macro="" textlink="">
        <xdr:nvSpPr>
          <xdr:cNvPr id="25" name="Rectangle : avec coins arrondis en haut 4">
            <a:extLst>
              <a:ext uri="{FF2B5EF4-FFF2-40B4-BE49-F238E27FC236}">
                <a16:creationId xmlns:a16="http://schemas.microsoft.com/office/drawing/2014/main" id="{C6E45811-D14D-4DD0-ADC8-EB07929AF82C}"/>
              </a:ext>
            </a:extLst>
          </xdr:cNvPr>
          <xdr:cNvSpPr txBox="1"/>
        </xdr:nvSpPr>
        <xdr:spPr>
          <a:xfrm>
            <a:off x="2791237" y="1751623"/>
            <a:ext cx="2630865" cy="171575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28016" tIns="128016" rIns="128016" bIns="128016" numCol="1" spcCol="1270" anchor="t" anchorCtr="0">
            <a:noAutofit/>
          </a:bodyPr>
          <a:lstStyle/>
          <a:p>
            <a:pPr marL="0" lvl="0" indent="0" algn="ctr" defTabSz="800100">
              <a:lnSpc>
                <a:spcPct val="90000"/>
              </a:lnSpc>
              <a:spcBef>
                <a:spcPct val="0"/>
              </a:spcBef>
              <a:spcAft>
                <a:spcPct val="35000"/>
              </a:spcAft>
              <a:buNone/>
            </a:pPr>
            <a:r>
              <a:rPr lang="fr-FR" sz="1400" kern="1200">
                <a:solidFill>
                  <a:sysClr val="window" lastClr="FFFFFF"/>
                </a:solidFill>
                <a:latin typeface="Calibri" panose="020F0502020204030204"/>
                <a:ea typeface="+mn-ea"/>
                <a:cs typeface="+mn-cs"/>
              </a:rPr>
              <a:t>Recette</a:t>
            </a:r>
            <a:r>
              <a:rPr lang="fr-FR" sz="1400" kern="1200"/>
              <a:t>s prévisionnelles</a:t>
            </a:r>
            <a:r>
              <a:rPr lang="fr-FR" sz="1400" kern="1200" baseline="0"/>
              <a:t> 2024</a:t>
            </a:r>
            <a:endParaRPr lang="fr-FR" sz="1400" kern="1200"/>
          </a:p>
          <a:p>
            <a:pPr marL="0" lvl="0" indent="0" algn="ctr" defTabSz="800100">
              <a:lnSpc>
                <a:spcPct val="90000"/>
              </a:lnSpc>
              <a:spcBef>
                <a:spcPct val="0"/>
              </a:spcBef>
              <a:spcAft>
                <a:spcPct val="35000"/>
              </a:spcAft>
              <a:buNone/>
            </a:pPr>
            <a:r>
              <a:rPr lang="fr-FR" sz="1400" b="1" kern="1200">
                <a:solidFill>
                  <a:srgbClr val="FFFFCC"/>
                </a:solidFill>
                <a:effectLst>
                  <a:innerShdw blurRad="63500" dist="50800" dir="18900000">
                    <a:prstClr val="black">
                      <a:alpha val="50000"/>
                    </a:prstClr>
                  </a:innerShdw>
                </a:effectLst>
                <a:latin typeface="Calibri" panose="020F0502020204030204"/>
                <a:ea typeface="+mn-ea"/>
                <a:cs typeface="+mn-cs"/>
              </a:rPr>
              <a:t>16,5 milliards d'€ (+ 3,9 %)</a:t>
            </a:r>
          </a:p>
          <a:p>
            <a:pPr marL="0" lvl="0" indent="0" algn="l" defTabSz="800100">
              <a:lnSpc>
                <a:spcPct val="90000"/>
              </a:lnSpc>
              <a:spcBef>
                <a:spcPct val="0"/>
              </a:spcBef>
              <a:spcAft>
                <a:spcPct val="35000"/>
              </a:spcAft>
              <a:buNone/>
            </a:pPr>
            <a:r>
              <a:rPr lang="fr-FR" sz="1100" b="1" kern="1200">
                <a:solidFill>
                  <a:srgbClr val="FFFFCC"/>
                </a:solidFill>
                <a:effectLst>
                  <a:innerShdw blurRad="63500" dist="50800" dir="18900000">
                    <a:prstClr val="black">
                      <a:alpha val="50000"/>
                    </a:prstClr>
                  </a:innerShdw>
                </a:effectLst>
                <a:latin typeface="Calibri" panose="020F0502020204030204"/>
                <a:ea typeface="+mn-ea"/>
                <a:cs typeface="+mn-cs"/>
              </a:rPr>
              <a:t>Rythme annuel moyen (période) :  + 3,3 %</a:t>
            </a:r>
            <a:endParaRPr lang="fr-FR" sz="1100" b="1" kern="1200">
              <a:solidFill>
                <a:srgbClr val="FFFFCC"/>
              </a:solidFill>
              <a:effectLst/>
              <a:latin typeface="+mn-lt"/>
              <a:ea typeface="+mn-ea"/>
              <a:cs typeface="+mn-cs"/>
            </a:endParaRPr>
          </a:p>
          <a:p>
            <a:pPr marL="0" lvl="0" indent="0" algn="l" defTabSz="800100">
              <a:lnSpc>
                <a:spcPct val="90000"/>
              </a:lnSpc>
              <a:spcBef>
                <a:spcPct val="0"/>
              </a:spcBef>
              <a:spcAft>
                <a:spcPct val="35000"/>
              </a:spcAft>
              <a:buNone/>
            </a:pPr>
            <a:r>
              <a:rPr lang="fr-FR" sz="1100" kern="1200"/>
              <a:t> &gt; Cotisations</a:t>
            </a:r>
            <a:r>
              <a:rPr lang="fr-FR" sz="1100" kern="1200" baseline="0"/>
              <a:t> sociales </a:t>
            </a:r>
            <a:r>
              <a:rPr lang="fr-FR" sz="1100" kern="1200"/>
              <a:t>: + 2,0 %</a:t>
            </a:r>
          </a:p>
          <a:p>
            <a:pPr marL="0" lvl="0" indent="0" algn="l" defTabSz="800100">
              <a:lnSpc>
                <a:spcPct val="90000"/>
              </a:lnSpc>
              <a:spcBef>
                <a:spcPct val="0"/>
              </a:spcBef>
              <a:spcAft>
                <a:spcPct val="35000"/>
              </a:spcAft>
              <a:buNone/>
            </a:pPr>
            <a:r>
              <a:rPr lang="fr-FR" sz="1100" kern="1200"/>
              <a:t> &gt; CSG : + 2,3 %</a:t>
            </a:r>
          </a:p>
          <a:p>
            <a:pPr marL="0" lvl="0" indent="0" algn="l" defTabSz="800100">
              <a:lnSpc>
                <a:spcPct val="90000"/>
              </a:lnSpc>
              <a:spcBef>
                <a:spcPct val="0"/>
              </a:spcBef>
              <a:spcAft>
                <a:spcPct val="35000"/>
              </a:spcAft>
              <a:buNone/>
            </a:pPr>
            <a:r>
              <a:rPr lang="fr-FR" sz="1100" kern="1200"/>
              <a:t> &gt;</a:t>
            </a:r>
            <a:r>
              <a:rPr lang="fr-FR" sz="1100" kern="1200" baseline="0"/>
              <a:t> </a:t>
            </a:r>
            <a:r>
              <a:rPr lang="fr-FR" sz="1100" kern="1200"/>
              <a:t> Part compensation démographique sur les recettes : 15,6 % </a:t>
            </a:r>
            <a:endParaRPr lang="fr-FR" sz="1000" kern="1200"/>
          </a:p>
        </xdr:txBody>
      </xdr:sp>
    </xdr:grpSp>
    <xdr:clientData/>
  </xdr:twoCellAnchor>
  <xdr:twoCellAnchor>
    <xdr:from>
      <xdr:col>10</xdr:col>
      <xdr:colOff>10583</xdr:colOff>
      <xdr:row>13</xdr:row>
      <xdr:rowOff>57706</xdr:rowOff>
    </xdr:from>
    <xdr:to>
      <xdr:col>13</xdr:col>
      <xdr:colOff>547906</xdr:colOff>
      <xdr:row>26</xdr:row>
      <xdr:rowOff>169333</xdr:rowOff>
    </xdr:to>
    <xdr:grpSp>
      <xdr:nvGrpSpPr>
        <xdr:cNvPr id="28" name="Groupe 27">
          <a:extLst>
            <a:ext uri="{FF2B5EF4-FFF2-40B4-BE49-F238E27FC236}">
              <a16:creationId xmlns:a16="http://schemas.microsoft.com/office/drawing/2014/main" id="{F1162372-B0FE-44B0-9341-CF7C5F5339CE}"/>
            </a:ext>
          </a:extLst>
        </xdr:cNvPr>
        <xdr:cNvGrpSpPr/>
      </xdr:nvGrpSpPr>
      <xdr:grpSpPr>
        <a:xfrm>
          <a:off x="9175750" y="2121456"/>
          <a:ext cx="2823323" cy="2175377"/>
          <a:chOff x="-66258" y="1725464"/>
          <a:chExt cx="2823323" cy="2255985"/>
        </a:xfrm>
      </xdr:grpSpPr>
      <xdr:sp macro="" textlink="">
        <xdr:nvSpPr>
          <xdr:cNvPr id="29" name="Rectangle : avec coins arrondis en haut 28">
            <a:extLst>
              <a:ext uri="{FF2B5EF4-FFF2-40B4-BE49-F238E27FC236}">
                <a16:creationId xmlns:a16="http://schemas.microsoft.com/office/drawing/2014/main" id="{5195342A-C9D9-4E8C-B684-ABEFC69BAE7F}"/>
              </a:ext>
            </a:extLst>
          </xdr:cNvPr>
          <xdr:cNvSpPr/>
        </xdr:nvSpPr>
        <xdr:spPr>
          <a:xfrm rot="10800000">
            <a:off x="-31333" y="1749742"/>
            <a:ext cx="2768131" cy="2231707"/>
          </a:xfrm>
          <a:prstGeom prst="round2SameRect">
            <a:avLst>
              <a:gd name="adj1" fmla="val 10500"/>
              <a:gd name="adj2" fmla="val 0"/>
            </a:avLst>
          </a:prstGeom>
        </xdr:spPr>
        <xdr:style>
          <a:lnRef idx="0">
            <a:schemeClr val="lt2">
              <a:hueOff val="0"/>
              <a:satOff val="0"/>
              <a:lumOff val="0"/>
              <a:alphaOff val="0"/>
            </a:schemeClr>
          </a:lnRef>
          <a:fillRef idx="3">
            <a:schemeClr val="dk2">
              <a:hueOff val="0"/>
              <a:satOff val="0"/>
              <a:lumOff val="0"/>
              <a:alphaOff val="0"/>
            </a:schemeClr>
          </a:fillRef>
          <a:effectRef idx="3">
            <a:schemeClr val="dk2">
              <a:hueOff val="0"/>
              <a:satOff val="0"/>
              <a:lumOff val="0"/>
              <a:alphaOff val="0"/>
            </a:schemeClr>
          </a:effectRef>
          <a:fontRef idx="minor">
            <a:schemeClr val="lt1"/>
          </a:fontRef>
        </xdr:style>
      </xdr:sp>
      <xdr:sp macro="" textlink="">
        <xdr:nvSpPr>
          <xdr:cNvPr id="30" name="Rectangle : avec coins arrondis en haut 4">
            <a:extLst>
              <a:ext uri="{FF2B5EF4-FFF2-40B4-BE49-F238E27FC236}">
                <a16:creationId xmlns:a16="http://schemas.microsoft.com/office/drawing/2014/main" id="{BF422631-39BF-4F05-8958-8A4F59CD3F55}"/>
              </a:ext>
            </a:extLst>
          </xdr:cNvPr>
          <xdr:cNvSpPr txBox="1"/>
        </xdr:nvSpPr>
        <xdr:spPr>
          <a:xfrm>
            <a:off x="-66258" y="1725464"/>
            <a:ext cx="2823323" cy="148590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28016" tIns="128016" rIns="128016" bIns="128016" numCol="1" spcCol="1270" anchor="t" anchorCtr="0">
            <a:noAutofit/>
          </a:bodyPr>
          <a:lstStyle/>
          <a:p>
            <a:pPr marL="0" lvl="0" indent="0" algn="ctr" defTabSz="800100">
              <a:lnSpc>
                <a:spcPct val="90000"/>
              </a:lnSpc>
              <a:spcBef>
                <a:spcPct val="0"/>
              </a:spcBef>
              <a:spcAft>
                <a:spcPct val="35000"/>
              </a:spcAft>
              <a:buNone/>
            </a:pPr>
            <a:r>
              <a:rPr lang="fr-FR" sz="1400" kern="1200"/>
              <a:t>Dépenses prévisionnelles 2024</a:t>
            </a:r>
          </a:p>
          <a:p>
            <a:pPr marL="0" lvl="0" indent="0" algn="ctr" defTabSz="800100">
              <a:lnSpc>
                <a:spcPct val="90000"/>
              </a:lnSpc>
              <a:spcBef>
                <a:spcPct val="0"/>
              </a:spcBef>
              <a:spcAft>
                <a:spcPct val="35000"/>
              </a:spcAft>
              <a:buNone/>
            </a:pPr>
            <a:r>
              <a:rPr lang="fr-FR" sz="1400" b="1" kern="1200">
                <a:solidFill>
                  <a:schemeClr val="bg2">
                    <a:lumMod val="90000"/>
                  </a:schemeClr>
                </a:solidFill>
                <a:effectLst>
                  <a:innerShdw blurRad="63500" dist="50800" dir="18900000">
                    <a:prstClr val="black">
                      <a:alpha val="50000"/>
                    </a:prstClr>
                  </a:innerShdw>
                </a:effectLst>
              </a:rPr>
              <a:t>16,4 milliards d'€ (+ 4,0 %)</a:t>
            </a:r>
            <a:endParaRPr lang="fr-FR" sz="1100" b="1" kern="1200">
              <a:solidFill>
                <a:schemeClr val="bg2">
                  <a:lumMod val="90000"/>
                </a:schemeClr>
              </a:solidFill>
              <a:effectLst>
                <a:innerShdw blurRad="63500" dist="50800" dir="18900000">
                  <a:prstClr val="black">
                    <a:alpha val="50000"/>
                  </a:prstClr>
                </a:innerShdw>
              </a:effectLst>
            </a:endParaRPr>
          </a:p>
          <a:p>
            <a:pPr marL="0" lvl="0" indent="0" algn="ctr" defTabSz="800100">
              <a:lnSpc>
                <a:spcPct val="90000"/>
              </a:lnSpc>
              <a:spcBef>
                <a:spcPct val="0"/>
              </a:spcBef>
              <a:spcAft>
                <a:spcPct val="35000"/>
              </a:spcAft>
              <a:buNone/>
            </a:pPr>
            <a:r>
              <a:rPr lang="fr-FR" sz="1100" b="1" kern="1200">
                <a:solidFill>
                  <a:schemeClr val="bg2">
                    <a:lumMod val="90000"/>
                  </a:schemeClr>
                </a:solidFill>
                <a:effectLst>
                  <a:innerShdw blurRad="63500" dist="50800" dir="18900000">
                    <a:prstClr val="black">
                      <a:alpha val="50000"/>
                    </a:prstClr>
                  </a:innerShdw>
                </a:effectLst>
              </a:rPr>
              <a:t>Rythme annuel moyen (période)</a:t>
            </a:r>
            <a:r>
              <a:rPr lang="fr-FR" sz="1100" b="1" kern="1200" baseline="0">
                <a:solidFill>
                  <a:schemeClr val="bg2">
                    <a:lumMod val="90000"/>
                  </a:schemeClr>
                </a:solidFill>
                <a:effectLst>
                  <a:innerShdw blurRad="63500" dist="50800" dir="18900000">
                    <a:prstClr val="black">
                      <a:alpha val="50000"/>
                    </a:prstClr>
                  </a:innerShdw>
                </a:effectLst>
              </a:rPr>
              <a:t> : +3,3 %</a:t>
            </a:r>
            <a:endParaRPr lang="fr-FR" sz="1400" b="1" kern="1200">
              <a:solidFill>
                <a:schemeClr val="bg2">
                  <a:lumMod val="90000"/>
                </a:schemeClr>
              </a:solidFill>
              <a:effectLst>
                <a:innerShdw blurRad="63500" dist="50800" dir="18900000">
                  <a:prstClr val="black">
                    <a:alpha val="50000"/>
                  </a:prstClr>
                </a:innerShdw>
              </a:effectLst>
            </a:endParaRPr>
          </a:p>
          <a:p>
            <a:pPr marL="0" lvl="0" indent="0" algn="l" defTabSz="800100">
              <a:lnSpc>
                <a:spcPct val="90000"/>
              </a:lnSpc>
              <a:spcBef>
                <a:spcPct val="0"/>
              </a:spcBef>
              <a:spcAft>
                <a:spcPct val="35000"/>
              </a:spcAft>
              <a:buNone/>
            </a:pPr>
            <a:r>
              <a:rPr lang="fr-FR" sz="1100" kern="1200"/>
              <a:t>  &gt;   Prestations légales :+ 3,4 %</a:t>
            </a:r>
          </a:p>
          <a:p>
            <a:pPr marL="0" lvl="0" indent="0" algn="l" defTabSz="800100">
              <a:lnSpc>
                <a:spcPct val="90000"/>
              </a:lnSpc>
              <a:spcBef>
                <a:spcPct val="0"/>
              </a:spcBef>
              <a:spcAft>
                <a:spcPct val="35000"/>
              </a:spcAft>
              <a:buNone/>
            </a:pPr>
            <a:r>
              <a:rPr lang="fr-FR" sz="1100" kern="1200"/>
              <a:t>  &gt;  Charges technique : +</a:t>
            </a:r>
            <a:r>
              <a:rPr lang="fr-FR" sz="1100" kern="1200" baseline="0"/>
              <a:t> 4,7 </a:t>
            </a:r>
            <a:r>
              <a:rPr lang="fr-FR" sz="1100" kern="1200"/>
              <a:t>% </a:t>
            </a:r>
          </a:p>
          <a:p>
            <a:pPr marL="0" lvl="0" indent="0" algn="l" defTabSz="800100">
              <a:lnSpc>
                <a:spcPct val="90000"/>
              </a:lnSpc>
              <a:spcBef>
                <a:spcPct val="0"/>
              </a:spcBef>
              <a:spcAft>
                <a:spcPct val="35000"/>
              </a:spcAft>
              <a:buNone/>
            </a:pPr>
            <a:r>
              <a:rPr lang="fr-FR" sz="1100" kern="1200"/>
              <a:t>    </a:t>
            </a:r>
          </a:p>
        </xdr:txBody>
      </xdr:sp>
    </xdr:grpSp>
    <xdr:clientData/>
  </xdr:twoCellAnchor>
  <xdr:twoCellAnchor>
    <xdr:from>
      <xdr:col>11</xdr:col>
      <xdr:colOff>63500</xdr:colOff>
      <xdr:row>6</xdr:row>
      <xdr:rowOff>42333</xdr:rowOff>
    </xdr:from>
    <xdr:to>
      <xdr:col>17</xdr:col>
      <xdr:colOff>402166</xdr:colOff>
      <xdr:row>12</xdr:row>
      <xdr:rowOff>127000</xdr:rowOff>
    </xdr:to>
    <xdr:sp macro="" textlink="">
      <xdr:nvSpPr>
        <xdr:cNvPr id="31" name="ZoneTexte 30">
          <a:extLst>
            <a:ext uri="{FF2B5EF4-FFF2-40B4-BE49-F238E27FC236}">
              <a16:creationId xmlns:a16="http://schemas.microsoft.com/office/drawing/2014/main" id="{05D55604-5ACD-4ED0-9C54-0CA9E2A69E09}"/>
            </a:ext>
          </a:extLst>
        </xdr:cNvPr>
        <xdr:cNvSpPr txBox="1"/>
      </xdr:nvSpPr>
      <xdr:spPr>
        <a:xfrm>
          <a:off x="9990667" y="994833"/>
          <a:ext cx="4910666" cy="1037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fr-FR" sz="1100" i="1">
              <a:solidFill>
                <a:schemeClr val="dk1"/>
              </a:solidFill>
              <a:effectLst/>
              <a:latin typeface="+mn-lt"/>
              <a:ea typeface="+mn-ea"/>
              <a:cs typeface="+mn-cs"/>
            </a:rPr>
            <a:t>Les données financières présentées ci-dessous sont celles retenues par la Commission des comptes de la Sécurité sociale de septembre 2024. Elles n’intègrent pas les mesures prévues dans la loi de financement de la Sécurité sociale (LFSS) pour 2025. Elles peuvent différer légèrement des prévisions réalisées par la MSA à l’été 2024.</a:t>
          </a:r>
          <a:endParaRPr lang="fr-FR" sz="1100">
            <a:solidFill>
              <a:schemeClr val="dk1"/>
            </a:solidFill>
            <a:effectLst/>
            <a:latin typeface="+mn-lt"/>
            <a:ea typeface="+mn-ea"/>
            <a:cs typeface="+mn-cs"/>
          </a:endParaRPr>
        </a:p>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134744</xdr:colOff>
      <xdr:row>26</xdr:row>
      <xdr:rowOff>54674</xdr:rowOff>
    </xdr:from>
    <xdr:to>
      <xdr:col>17</xdr:col>
      <xdr:colOff>751417</xdr:colOff>
      <xdr:row>46</xdr:row>
      <xdr:rowOff>31750</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304871</xdr:colOff>
      <xdr:row>49</xdr:row>
      <xdr:rowOff>52797</xdr:rowOff>
    </xdr:from>
    <xdr:to>
      <xdr:col>17</xdr:col>
      <xdr:colOff>587856</xdr:colOff>
      <xdr:row>69</xdr:row>
      <xdr:rowOff>85628</xdr:rowOff>
    </xdr:to>
    <xdr:graphicFrame macro="">
      <xdr:nvGraphicFramePr>
        <xdr:cNvPr id="4" name="Graphique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254001</xdr:colOff>
      <xdr:row>3</xdr:row>
      <xdr:rowOff>52917</xdr:rowOff>
    </xdr:from>
    <xdr:to>
      <xdr:col>18</xdr:col>
      <xdr:colOff>200025</xdr:colOff>
      <xdr:row>20</xdr:row>
      <xdr:rowOff>28575</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761999</xdr:colOff>
      <xdr:row>0</xdr:row>
      <xdr:rowOff>485774</xdr:rowOff>
    </xdr:from>
    <xdr:to>
      <xdr:col>16</xdr:col>
      <xdr:colOff>733425</xdr:colOff>
      <xdr:row>20</xdr:row>
      <xdr:rowOff>19049</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25</xdr:row>
      <xdr:rowOff>66676</xdr:rowOff>
    </xdr:from>
    <xdr:to>
      <xdr:col>17</xdr:col>
      <xdr:colOff>9525</xdr:colOff>
      <xdr:row>45</xdr:row>
      <xdr:rowOff>47626</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-1</xdr:rowOff>
    </xdr:from>
    <xdr:to>
      <xdr:col>6</xdr:col>
      <xdr:colOff>309339</xdr:colOff>
      <xdr:row>57</xdr:row>
      <xdr:rowOff>104776</xdr:rowOff>
    </xdr:to>
    <xdr:graphicFrame macro="">
      <xdr:nvGraphicFramePr>
        <xdr:cNvPr id="4" name="Graphique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3463</xdr:colOff>
      <xdr:row>50</xdr:row>
      <xdr:rowOff>0</xdr:rowOff>
    </xdr:from>
    <xdr:to>
      <xdr:col>21</xdr:col>
      <xdr:colOff>372341</xdr:colOff>
      <xdr:row>67</xdr:row>
      <xdr:rowOff>0</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3</xdr:row>
      <xdr:rowOff>0</xdr:rowOff>
    </xdr:from>
    <xdr:to>
      <xdr:col>18</xdr:col>
      <xdr:colOff>304576</xdr:colOff>
      <xdr:row>22</xdr:row>
      <xdr:rowOff>95251</xdr:rowOff>
    </xdr:to>
    <xdr:graphicFrame macro="">
      <xdr:nvGraphicFramePr>
        <xdr:cNvPr id="4" name="Graphique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27</xdr:row>
      <xdr:rowOff>123825</xdr:rowOff>
    </xdr:from>
    <xdr:to>
      <xdr:col>18</xdr:col>
      <xdr:colOff>323626</xdr:colOff>
      <xdr:row>45</xdr:row>
      <xdr:rowOff>38101</xdr:rowOff>
    </xdr:to>
    <xdr:graphicFrame macro="">
      <xdr:nvGraphicFramePr>
        <xdr:cNvPr id="5" name="Graphique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840051</xdr:colOff>
      <xdr:row>62</xdr:row>
      <xdr:rowOff>103188</xdr:rowOff>
    </xdr:from>
    <xdr:to>
      <xdr:col>15</xdr:col>
      <xdr:colOff>750093</xdr:colOff>
      <xdr:row>81</xdr:row>
      <xdr:rowOff>119060</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62</xdr:row>
      <xdr:rowOff>115092</xdr:rowOff>
    </xdr:from>
    <xdr:to>
      <xdr:col>7</xdr:col>
      <xdr:colOff>345280</xdr:colOff>
      <xdr:row>81</xdr:row>
      <xdr:rowOff>107155</xdr:rowOff>
    </xdr:to>
    <xdr:graphicFrame macro="">
      <xdr:nvGraphicFramePr>
        <xdr:cNvPr id="3" name="Graphique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21166</xdr:colOff>
      <xdr:row>4</xdr:row>
      <xdr:rowOff>137584</xdr:rowOff>
    </xdr:from>
    <xdr:to>
      <xdr:col>16</xdr:col>
      <xdr:colOff>539750</xdr:colOff>
      <xdr:row>19</xdr:row>
      <xdr:rowOff>3176</xdr:rowOff>
    </xdr:to>
    <xdr:graphicFrame macro="">
      <xdr:nvGraphicFramePr>
        <xdr:cNvPr id="3" name="Graphique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2_PREVISIONS/Exercice%202024_2024-2028/3%20-%20EFFECTIFS/2%20-%20ETE/TCDC_PREVISIONS_EFFECTIFS_2024-2028_SA_juillet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1_REALISATIONS/2022/3%20-%20MAQUETTES/2%20-%20Maquettes%20compl&#233;t&#233;es/SA/Maquette_R&#233;alisations2022_FAMILLE%20S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STATISTIQUES/01_STATS_MISSION_SYNTHESES/03_FINANCEMENT/01_TCDC/02_PREVISIONS/Exercice%202024_2024-2028/2%20-%20MAQUETTES%20DE%20DONNEES/2%20-%20JUILLET%202024/2_RELECTURE/Maquette_Pr&#233;visions%202024-2028_FAMILLE_SA_N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ECHANGES\MEFC_SDFT\TCDC\Pr&#233;visions_2024-2028\TCDC_PREVISIONS_2024-2028_SA%20CCSS%20Octobr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ECHANGES\MEFC_SDFT\TCDC\Pr&#233;visions_2022-2026\TCDC_PREVISIONS_2022-2026_SA_CCSS%20SEPTEMBRE%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ECHANGES\MEFC_SDFT\TCDC\Pr&#233;visions_2023-2027\TCDC_PREVISIONS_2023-2027_SA_CCSS%20SEPTEMBRE%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fectifs"/>
    </sheetNames>
    <sheetDataSet>
      <sheetData sheetId="0">
        <row r="10">
          <cell r="L10">
            <v>1934245</v>
          </cell>
          <cell r="N10">
            <v>1942318</v>
          </cell>
          <cell r="P10">
            <v>1945441</v>
          </cell>
          <cell r="R10">
            <v>1947386</v>
          </cell>
          <cell r="T10">
            <v>1948360</v>
          </cell>
          <cell r="V10">
            <v>1948555</v>
          </cell>
          <cell r="X10">
            <v>1948749</v>
          </cell>
          <cell r="Z10">
            <v>1948944</v>
          </cell>
        </row>
        <row r="16">
          <cell r="L16">
            <v>2335989</v>
          </cell>
          <cell r="N16">
            <v>2288162</v>
          </cell>
          <cell r="P16">
            <v>2243317</v>
          </cell>
          <cell r="R16">
            <v>2205079</v>
          </cell>
          <cell r="T16">
            <v>2164882</v>
          </cell>
          <cell r="V16">
            <v>2128496</v>
          </cell>
          <cell r="X16">
            <v>2097895</v>
          </cell>
          <cell r="Z16">
            <v>2059684</v>
          </cell>
        </row>
        <row r="20">
          <cell r="L20">
            <v>29893</v>
          </cell>
          <cell r="N20">
            <v>29805</v>
          </cell>
          <cell r="P20">
            <v>30268</v>
          </cell>
          <cell r="R20">
            <v>30906.316060266898</v>
          </cell>
          <cell r="T20">
            <v>31654.501407941276</v>
          </cell>
          <cell r="V20">
            <v>32507.749455594239</v>
          </cell>
          <cell r="X20">
            <v>33462.178792348612</v>
          </cell>
          <cell r="Z20">
            <v>34514.739885195646</v>
          </cell>
        </row>
        <row r="22">
          <cell r="L22">
            <v>714686</v>
          </cell>
          <cell r="N22">
            <v>743655</v>
          </cell>
          <cell r="P22">
            <v>754895</v>
          </cell>
          <cell r="R22">
            <v>767478</v>
          </cell>
          <cell r="T22">
            <v>774863</v>
          </cell>
          <cell r="V22">
            <v>782415</v>
          </cell>
          <cell r="X22">
            <v>790138</v>
          </cell>
          <cell r="Z22">
            <v>797937.23157659289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ille SA - Tableau 1"/>
      <sheetName val="Famille SA - Tableau 2"/>
      <sheetName val="Famille SA - Tableaux 3&amp;4"/>
      <sheetName val="Famille SA - Ecarts1"/>
      <sheetName val="Famille SA - Ecarts2"/>
      <sheetName val="Chiffrage des mesures 2022"/>
    </sheetNames>
    <sheetDataSet>
      <sheetData sheetId="0">
        <row r="12">
          <cell r="B12">
            <v>153728</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IRES"/>
      <sheetName val="Famille SA - 1"/>
      <sheetName val="Famille SA - 2"/>
      <sheetName val="Famille SA - 3 "/>
      <sheetName val="Famille SA - 4"/>
      <sheetName val="Chiffrages des mesures 2024"/>
      <sheetName val="HypothesesDemo"/>
    </sheetNames>
    <sheetDataSet>
      <sheetData sheetId="0"/>
      <sheetData sheetId="1">
        <row r="15">
          <cell r="B15">
            <v>151837</v>
          </cell>
          <cell r="C15">
            <v>148998</v>
          </cell>
          <cell r="D15">
            <v>147506</v>
          </cell>
          <cell r="E15">
            <v>145491</v>
          </cell>
          <cell r="F15">
            <v>143433</v>
          </cell>
          <cell r="G15">
            <v>141625</v>
          </cell>
          <cell r="H15">
            <v>139717</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égende prévisions DCF"/>
      <sheetName val="Maladie"/>
      <sheetName val="AT"/>
      <sheetName val="Famille"/>
      <sheetName val="Vieillesse"/>
      <sheetName val="SASPA"/>
      <sheetName val="Feuil1"/>
      <sheetName val="Prev Cot Exo 2022"/>
      <sheetName val="Prev Cot Exo (2)"/>
      <sheetName val="Prev Cot Exo"/>
      <sheetName val="Solde Cot Exo"/>
      <sheetName val="Prev Cot Exo 2024"/>
      <sheetName val="Hypotheses"/>
      <sheetName val="allégts généraux 2023"/>
      <sheetName val="allégts généraux 2023 old"/>
      <sheetName val="allégts généraux 2022"/>
      <sheetName val="allégts généraux 2021"/>
      <sheetName val="allégts généraux 2020"/>
      <sheetName val="allégts généraux 2019"/>
      <sheetName val="PàR2021"/>
      <sheetName val="PàR2020"/>
      <sheetName val="PàR2019"/>
      <sheetName val="PàR2018"/>
      <sheetName val="allégts généraux 2018"/>
      <sheetName val="allégts généraux 2017"/>
      <sheetName val="recettes"/>
      <sheetName val="compens"/>
      <sheetName val="Contribution RG"/>
      <sheetName val="Synthese"/>
      <sheetName val="Soldes Tech Gest"/>
      <sheetName val="Resultat NSA+SA"/>
      <sheetName val="Commentaire"/>
      <sheetName val="CPSS"/>
    </sheetNames>
    <sheetDataSet>
      <sheetData sheetId="0"/>
      <sheetData sheetId="1">
        <row r="6">
          <cell r="H6">
            <v>6106.6009445300006</v>
          </cell>
          <cell r="I6">
            <v>6137.2472051500008</v>
          </cell>
          <cell r="R6">
            <v>6313.3870358075874</v>
          </cell>
          <cell r="W6">
            <v>6537.3302567347409</v>
          </cell>
          <cell r="AB6">
            <v>6804.2397632770089</v>
          </cell>
          <cell r="AG6">
            <v>7064.6230927348306</v>
          </cell>
          <cell r="AL6">
            <v>7334.4902269769427</v>
          </cell>
        </row>
        <row r="10">
          <cell r="G10">
            <v>4816.3181431499997</v>
          </cell>
          <cell r="H10">
            <v>5028.3106068300012</v>
          </cell>
          <cell r="I10">
            <v>5134.0496223500004</v>
          </cell>
          <cell r="R10">
            <v>5282.382805615749</v>
          </cell>
          <cell r="W10">
            <v>5485.0617576118721</v>
          </cell>
          <cell r="AB10">
            <v>5723.7296104512388</v>
          </cell>
          <cell r="AG10">
            <v>5955.5971423190103</v>
          </cell>
          <cell r="AL10">
            <v>6196.0238931601398</v>
          </cell>
        </row>
        <row r="71">
          <cell r="G71">
            <v>311.22717200999995</v>
          </cell>
          <cell r="H71">
            <v>315.41880156000002</v>
          </cell>
          <cell r="I71">
            <v>227.24444053000002</v>
          </cell>
          <cell r="R71">
            <v>236.1022582148245</v>
          </cell>
          <cell r="W71">
            <v>238.31087309584379</v>
          </cell>
          <cell r="AB71">
            <v>245.2250765178311</v>
          </cell>
          <cell r="AG71">
            <v>252.30359216735644</v>
          </cell>
          <cell r="AL71">
            <v>259.55424636415569</v>
          </cell>
        </row>
        <row r="91">
          <cell r="G91">
            <v>12.33898093</v>
          </cell>
          <cell r="H91">
            <v>11.770554090000001</v>
          </cell>
          <cell r="I91">
            <v>14.642937279999998</v>
          </cell>
          <cell r="R91">
            <v>15.148002846763978</v>
          </cell>
          <cell r="W91">
            <v>15.670648676053888</v>
          </cell>
          <cell r="AB91">
            <v>16.222766980251151</v>
          </cell>
          <cell r="AG91">
            <v>16.826439870355152</v>
          </cell>
          <cell r="AL91">
            <v>17.468373327844475</v>
          </cell>
        </row>
        <row r="103">
          <cell r="G103">
            <v>406.80084109000006</v>
          </cell>
          <cell r="H103">
            <v>409.12918354000004</v>
          </cell>
          <cell r="I103">
            <v>391.09024434000003</v>
          </cell>
          <cell r="R103">
            <v>406.03667864923131</v>
          </cell>
          <cell r="W103">
            <v>420.40636163579194</v>
          </cell>
          <cell r="AB103">
            <v>436.96284441077853</v>
          </cell>
          <cell r="AG103">
            <v>453.52150255191202</v>
          </cell>
          <cell r="AL103">
            <v>470.73767305984711</v>
          </cell>
        </row>
        <row r="132">
          <cell r="G132">
            <v>0.39359049000000002</v>
          </cell>
          <cell r="H132">
            <v>0.44203855999999997</v>
          </cell>
          <cell r="I132">
            <v>2.0393311499999998</v>
          </cell>
          <cell r="R132">
            <v>2.002405592179846</v>
          </cell>
          <cell r="W132">
            <v>2.0131307653183899</v>
          </cell>
          <cell r="AB132">
            <v>2.023923749539529</v>
          </cell>
          <cell r="AG132">
            <v>2.0347809737039402</v>
          </cell>
          <cell r="AL132">
            <v>2.0456985688850318</v>
          </cell>
        </row>
        <row r="138">
          <cell r="G138">
            <v>332.37607204</v>
          </cell>
          <cell r="H138">
            <v>341.52975994999997</v>
          </cell>
          <cell r="I138">
            <v>368.18062950000001</v>
          </cell>
          <cell r="R138">
            <v>371.71488488883926</v>
          </cell>
          <cell r="W138">
            <v>375.86748494986085</v>
          </cell>
          <cell r="AB138">
            <v>380.07554116736929</v>
          </cell>
          <cell r="AG138">
            <v>384.33963485249325</v>
          </cell>
          <cell r="AL138">
            <v>388.66034249607071</v>
          </cell>
        </row>
        <row r="145">
          <cell r="G145">
            <v>1.15363785</v>
          </cell>
          <cell r="H145">
            <v>0</v>
          </cell>
          <cell r="I145">
            <v>0</v>
          </cell>
          <cell r="R145"/>
          <cell r="W145"/>
          <cell r="AB145"/>
          <cell r="AG145"/>
          <cell r="AL145"/>
        </row>
        <row r="153">
          <cell r="H153">
            <v>6106.6009445300006</v>
          </cell>
          <cell r="I153">
            <v>6137.2472051499999</v>
          </cell>
          <cell r="R153">
            <v>6313.3870358075874</v>
          </cell>
          <cell r="W153">
            <v>6537.3302567347409</v>
          </cell>
          <cell r="AB153">
            <v>6804.2397632770089</v>
          </cell>
          <cell r="AG153">
            <v>7064.6230927348306</v>
          </cell>
          <cell r="AL153">
            <v>7334.4902269769418</v>
          </cell>
        </row>
        <row r="158">
          <cell r="H158">
            <v>1627.74614486</v>
          </cell>
          <cell r="I158">
            <v>1718.7206791599999</v>
          </cell>
          <cell r="R158">
            <v>1762.4575150897617</v>
          </cell>
          <cell r="W158">
            <v>1797.186584201065</v>
          </cell>
          <cell r="AB158">
            <v>1832.69271676587</v>
          </cell>
          <cell r="AG158">
            <v>1868.0380929807393</v>
          </cell>
          <cell r="AL158">
            <v>1903.1080979303567</v>
          </cell>
        </row>
        <row r="175">
          <cell r="H175">
            <v>158.14943690000001</v>
          </cell>
          <cell r="I175">
            <v>144.67077606999999</v>
          </cell>
          <cell r="R175">
            <v>156.21357021720135</v>
          </cell>
          <cell r="W175">
            <v>162.0383576491557</v>
          </cell>
          <cell r="AB175">
            <v>165.65801154287084</v>
          </cell>
          <cell r="AG175">
            <v>171.17885186653226</v>
          </cell>
          <cell r="AL175">
            <v>178.56759338410177</v>
          </cell>
        </row>
        <row r="194">
          <cell r="H194">
            <v>1078.72517984</v>
          </cell>
          <cell r="I194">
            <v>1134.8043451599999</v>
          </cell>
          <cell r="R194">
            <v>1167.6134014732395</v>
          </cell>
          <cell r="W194">
            <v>1195.3691375289698</v>
          </cell>
          <cell r="AB194">
            <v>1222.3493822478381</v>
          </cell>
          <cell r="AG194">
            <v>1250.5610272459267</v>
          </cell>
          <cell r="AL194">
            <v>1280.0016625519179</v>
          </cell>
        </row>
        <row r="199">
          <cell r="H199">
            <v>0</v>
          </cell>
          <cell r="I199">
            <v>0</v>
          </cell>
          <cell r="R199">
            <v>0</v>
          </cell>
          <cell r="W199">
            <v>0</v>
          </cell>
          <cell r="AB199">
            <v>0</v>
          </cell>
          <cell r="AG199">
            <v>0</v>
          </cell>
          <cell r="AL199">
            <v>0</v>
          </cell>
        </row>
        <row r="256">
          <cell r="H256">
            <v>2740.6044712799999</v>
          </cell>
          <cell r="I256">
            <v>2589.8622132199998</v>
          </cell>
          <cell r="R256">
            <v>2655.013030320888</v>
          </cell>
          <cell r="W256">
            <v>2794.313620451202</v>
          </cell>
          <cell r="AB256">
            <v>2979.5898687508088</v>
          </cell>
          <cell r="AG256">
            <v>3152.8911608325348</v>
          </cell>
          <cell r="AL256">
            <v>3332.8878159898177</v>
          </cell>
        </row>
        <row r="272">
          <cell r="H272">
            <v>407.45439783999996</v>
          </cell>
          <cell r="I272">
            <v>390.00126245999996</v>
          </cell>
          <cell r="R272">
            <v>387.63764834</v>
          </cell>
          <cell r="W272">
            <v>402.32001288365632</v>
          </cell>
          <cell r="AB272">
            <v>415.82255853265576</v>
          </cell>
          <cell r="AG272">
            <v>431.64852128944324</v>
          </cell>
          <cell r="AL272">
            <v>447.2872070800106</v>
          </cell>
        </row>
      </sheetData>
      <sheetData sheetId="2">
        <row r="6">
          <cell r="H6">
            <v>740.97023516000002</v>
          </cell>
          <cell r="I6">
            <v>766.76793252999994</v>
          </cell>
          <cell r="R6">
            <v>782.97544573976472</v>
          </cell>
          <cell r="W6">
            <v>800.5497772695287</v>
          </cell>
          <cell r="AB6">
            <v>819.07146146908735</v>
          </cell>
          <cell r="AG6">
            <v>837.61015036970787</v>
          </cell>
          <cell r="AL6">
            <v>856.17002165060933</v>
          </cell>
        </row>
        <row r="10">
          <cell r="G10">
            <v>572.89877344000001</v>
          </cell>
          <cell r="H10">
            <v>593.00804479999999</v>
          </cell>
          <cell r="I10">
            <v>617.05188923999992</v>
          </cell>
          <cell r="R10">
            <v>632.70331849916408</v>
          </cell>
          <cell r="W10">
            <v>646.9779869753595</v>
          </cell>
          <cell r="AB10">
            <v>662.20608273284859</v>
          </cell>
          <cell r="AG10">
            <v>677.358092306191</v>
          </cell>
          <cell r="AL10">
            <v>692.41421270427816</v>
          </cell>
        </row>
        <row r="37">
          <cell r="G37">
            <v>7.2619859500000006</v>
          </cell>
          <cell r="H37">
            <v>7.8779610400000006</v>
          </cell>
          <cell r="I37">
            <v>9.2331422300000003</v>
          </cell>
          <cell r="R37">
            <v>8.5409658319312225</v>
          </cell>
          <cell r="W37">
            <v>9.2363977400000028</v>
          </cell>
          <cell r="AB37">
            <v>9.8346493557936672</v>
          </cell>
          <cell r="AG37">
            <v>10.48149111772489</v>
          </cell>
          <cell r="AL37">
            <v>11.12833287965611</v>
          </cell>
        </row>
        <row r="43">
          <cell r="G43">
            <v>4.03883817</v>
          </cell>
          <cell r="H43">
            <v>4.1528955300000003</v>
          </cell>
          <cell r="I43">
            <v>6.1640813000000003</v>
          </cell>
          <cell r="R43">
            <v>6.1057990062021252</v>
          </cell>
          <cell r="W43">
            <v>6.2431100595312623</v>
          </cell>
          <cell r="AB43">
            <v>6.3787449825168769</v>
          </cell>
          <cell r="AG43">
            <v>6.5186912297987556</v>
          </cell>
          <cell r="AL43">
            <v>6.6629968472388263</v>
          </cell>
        </row>
        <row r="55">
          <cell r="G55">
            <v>89.995679300000006</v>
          </cell>
          <cell r="H55">
            <v>84.290724920000002</v>
          </cell>
          <cell r="I55">
            <v>83.46501302999998</v>
          </cell>
          <cell r="R55">
            <v>84.248277331642313</v>
          </cell>
          <cell r="W55">
            <v>86.18313322680261</v>
          </cell>
          <cell r="AB55">
            <v>88.195484226883522</v>
          </cell>
          <cell r="AG55">
            <v>90.240152380753088</v>
          </cell>
          <cell r="AL55">
            <v>92.389546228649223</v>
          </cell>
        </row>
        <row r="74">
          <cell r="G74">
            <v>1.0485484300000001</v>
          </cell>
          <cell r="H74">
            <v>2.3008533399999997</v>
          </cell>
          <cell r="I74">
            <v>0.17364387000000001</v>
          </cell>
          <cell r="R74">
            <v>0.17364387000000001</v>
          </cell>
          <cell r="W74">
            <v>0.17364387000000001</v>
          </cell>
          <cell r="AB74">
            <v>0.17364387000000001</v>
          </cell>
          <cell r="AG74">
            <v>0.17364387000000001</v>
          </cell>
          <cell r="AL74">
            <v>0.17364387000000001</v>
          </cell>
        </row>
        <row r="80">
          <cell r="G80">
            <v>50.29831326</v>
          </cell>
          <cell r="H80">
            <v>49.339755529999998</v>
          </cell>
          <cell r="I80">
            <v>50.680162860000003</v>
          </cell>
          <cell r="R80">
            <v>51.203441200825111</v>
          </cell>
          <cell r="W80">
            <v>51.735505397835269</v>
          </cell>
          <cell r="AB80">
            <v>52.28285630104466</v>
          </cell>
          <cell r="AG80">
            <v>52.838079465240213</v>
          </cell>
          <cell r="AL80">
            <v>53.401289120787041</v>
          </cell>
        </row>
        <row r="86">
          <cell r="G86">
            <v>0.15138835</v>
          </cell>
          <cell r="H86">
            <v>0</v>
          </cell>
          <cell r="I86">
            <v>0</v>
          </cell>
          <cell r="R86"/>
          <cell r="W86"/>
          <cell r="AB86"/>
          <cell r="AG86"/>
          <cell r="AL86"/>
        </row>
        <row r="94">
          <cell r="H94">
            <v>800.57428067000001</v>
          </cell>
          <cell r="I94">
            <v>827.33309961999987</v>
          </cell>
          <cell r="R94">
            <v>826.78410071339567</v>
          </cell>
          <cell r="W94">
            <v>845.77691960296988</v>
          </cell>
          <cell r="AB94">
            <v>865.43403793608547</v>
          </cell>
          <cell r="AG94">
            <v>884.33578210540838</v>
          </cell>
          <cell r="AL94">
            <v>905.03507241792465</v>
          </cell>
        </row>
        <row r="99">
          <cell r="H99">
            <v>517.04956264000009</v>
          </cell>
          <cell r="I99">
            <v>527.6335978699999</v>
          </cell>
          <cell r="R99">
            <v>528.24229611419958</v>
          </cell>
          <cell r="W99">
            <v>539.34093858618553</v>
          </cell>
          <cell r="AB99">
            <v>551.20881344872259</v>
          </cell>
          <cell r="AG99">
            <v>563.48289882920392</v>
          </cell>
          <cell r="AL99">
            <v>576.16436433947172</v>
          </cell>
        </row>
        <row r="108">
          <cell r="H108">
            <v>21.758339149999998</v>
          </cell>
          <cell r="I108">
            <v>22.429495890000002</v>
          </cell>
          <cell r="R108">
            <v>24.290140454425828</v>
          </cell>
          <cell r="W108">
            <v>25.301235277970406</v>
          </cell>
          <cell r="AB108">
            <v>26.1357408361118</v>
          </cell>
          <cell r="AG108">
            <v>27.150477219138963</v>
          </cell>
          <cell r="AL108">
            <v>28.394950198112028</v>
          </cell>
        </row>
        <row r="139">
          <cell r="H139">
            <v>11.665937100000001</v>
          </cell>
          <cell r="I139">
            <v>18.156489730000001</v>
          </cell>
          <cell r="R139">
            <v>18.065707281350001</v>
          </cell>
          <cell r="W139">
            <v>19.260250647278227</v>
          </cell>
          <cell r="AB139">
            <v>19.829446182991887</v>
          </cell>
          <cell r="AG139">
            <v>20.436710887997474</v>
          </cell>
          <cell r="AL139">
            <v>21.079745043934039</v>
          </cell>
        </row>
        <row r="219">
          <cell r="H219">
            <v>90.1693499</v>
          </cell>
          <cell r="I219">
            <v>84.503835580000015</v>
          </cell>
          <cell r="R219">
            <v>84.579373029999985</v>
          </cell>
          <cell r="W219">
            <v>85.349709041969746</v>
          </cell>
          <cell r="AB219">
            <v>87.294765691608958</v>
          </cell>
          <cell r="AG219">
            <v>89.331457739110022</v>
          </cell>
          <cell r="AL219">
            <v>91.401401287404568</v>
          </cell>
        </row>
      </sheetData>
      <sheetData sheetId="3">
        <row r="6">
          <cell r="H6">
            <v>1023.51358857</v>
          </cell>
          <cell r="I6">
            <v>981.95520630999999</v>
          </cell>
          <cell r="R6">
            <v>985.32529777899936</v>
          </cell>
          <cell r="W6">
            <v>1002.7348904973385</v>
          </cell>
          <cell r="AB6">
            <v>1019.3226791601655</v>
          </cell>
          <cell r="AG6">
            <v>1036.4559184185941</v>
          </cell>
          <cell r="AL6">
            <v>1053.9499639408125</v>
          </cell>
        </row>
        <row r="10">
          <cell r="G10">
            <v>688.32126192999999</v>
          </cell>
          <cell r="H10">
            <v>771.56760064000002</v>
          </cell>
          <cell r="I10">
            <v>715.24798183999997</v>
          </cell>
          <cell r="R10">
            <v>666.16838953923593</v>
          </cell>
          <cell r="W10">
            <v>675.61373864135373</v>
          </cell>
          <cell r="AB10">
            <v>682.19926244849091</v>
          </cell>
          <cell r="AG10">
            <v>681.08437985141779</v>
          </cell>
          <cell r="AL10">
            <v>681.36097729963888</v>
          </cell>
        </row>
        <row r="52">
          <cell r="G52">
            <v>0.624</v>
          </cell>
          <cell r="H52">
            <v>0.61799999999999999</v>
          </cell>
          <cell r="I52">
            <v>0.64</v>
          </cell>
          <cell r="R52">
            <v>49.557413238903528</v>
          </cell>
          <cell r="W52">
            <v>54.053304899138872</v>
          </cell>
          <cell r="AB52">
            <v>60.666662924991712</v>
          </cell>
          <cell r="AG52">
            <v>75.808058198073695</v>
          </cell>
          <cell r="AL52">
            <v>89.855400064880328</v>
          </cell>
        </row>
        <row r="53">
          <cell r="R53">
            <v>48.894630067382494</v>
          </cell>
          <cell r="W53">
            <v>53.366927504683431</v>
          </cell>
          <cell r="AB53">
            <v>59.955851383808081</v>
          </cell>
          <cell r="AG53">
            <v>75.071942686168313</v>
          </cell>
          <cell r="AL53">
            <v>89.093079793651455</v>
          </cell>
        </row>
        <row r="56">
          <cell r="G56">
            <v>6.11649434</v>
          </cell>
          <cell r="H56">
            <v>6.51325033</v>
          </cell>
          <cell r="I56">
            <v>7.5952208299999997</v>
          </cell>
          <cell r="R56">
            <v>7.8473827866820871</v>
          </cell>
          <cell r="W56">
            <v>7.9961626165906221</v>
          </cell>
          <cell r="AB56">
            <v>8.1497062595825511</v>
          </cell>
          <cell r="AG56">
            <v>8.3007447108789396</v>
          </cell>
          <cell r="AL56">
            <v>8.4485848370613983</v>
          </cell>
        </row>
        <row r="61">
          <cell r="G61">
            <v>69.956644780000005</v>
          </cell>
          <cell r="H61">
            <v>60.295213629999992</v>
          </cell>
          <cell r="I61">
            <v>63.215545240000004</v>
          </cell>
          <cell r="R61">
            <v>64.632592682198847</v>
          </cell>
          <cell r="W61">
            <v>65.763450609804494</v>
          </cell>
          <cell r="AB61">
            <v>66.780867747402795</v>
          </cell>
          <cell r="AG61">
            <v>67.489071416190484</v>
          </cell>
          <cell r="AL61">
            <v>68.234010590520768</v>
          </cell>
        </row>
        <row r="68">
          <cell r="G68">
            <v>0.24857645</v>
          </cell>
          <cell r="H68">
            <v>0.26726557000000001</v>
          </cell>
          <cell r="I68">
            <v>1.2344350799999999</v>
          </cell>
          <cell r="R68">
            <v>1.2344350799999999</v>
          </cell>
          <cell r="W68">
            <v>1.2344350799999999</v>
          </cell>
          <cell r="AB68">
            <v>1.2344350799999999</v>
          </cell>
          <cell r="AG68">
            <v>1.2344350799999999</v>
          </cell>
          <cell r="AL68">
            <v>1.2344350799999999</v>
          </cell>
        </row>
        <row r="72">
          <cell r="G72">
            <v>187.32606887</v>
          </cell>
          <cell r="H72">
            <v>184.25225839999999</v>
          </cell>
          <cell r="I72">
            <v>194.02202332000002</v>
          </cell>
          <cell r="R72">
            <v>195.88508445197897</v>
          </cell>
          <cell r="W72">
            <v>198.07379865045078</v>
          </cell>
          <cell r="AB72">
            <v>200.29174469969763</v>
          </cell>
          <cell r="AG72">
            <v>202.53922916203334</v>
          </cell>
          <cell r="AL72">
            <v>204.81655606871112</v>
          </cell>
        </row>
        <row r="79">
          <cell r="G79">
            <v>0.72383306000000003</v>
          </cell>
          <cell r="H79">
            <v>0</v>
          </cell>
          <cell r="I79">
            <v>0</v>
          </cell>
          <cell r="R79">
            <v>0</v>
          </cell>
          <cell r="W79">
            <v>0</v>
          </cell>
          <cell r="AB79">
            <v>0</v>
          </cell>
          <cell r="AG79">
            <v>0</v>
          </cell>
          <cell r="AL79">
            <v>0</v>
          </cell>
        </row>
        <row r="87">
          <cell r="H87">
            <v>1023.5135885699997</v>
          </cell>
          <cell r="I87">
            <v>981.95520630999999</v>
          </cell>
          <cell r="R87">
            <v>985.32529777899924</v>
          </cell>
          <cell r="W87">
            <v>1002.7348904973385</v>
          </cell>
          <cell r="AB87">
            <v>1019.3226791601655</v>
          </cell>
          <cell r="AG87">
            <v>1036.4559184185944</v>
          </cell>
          <cell r="AL87">
            <v>1053.9499639408125</v>
          </cell>
        </row>
        <row r="92">
          <cell r="H92">
            <v>667.18409943999995</v>
          </cell>
          <cell r="I92">
            <v>705.25293506999992</v>
          </cell>
          <cell r="R92">
            <v>727.62959918479737</v>
          </cell>
          <cell r="W92">
            <v>741.42484926318707</v>
          </cell>
          <cell r="AB92">
            <v>755.66181239402829</v>
          </cell>
          <cell r="AG92">
            <v>769.66648768077437</v>
          </cell>
          <cell r="AL92">
            <v>783.3746060027371</v>
          </cell>
        </row>
        <row r="103">
          <cell r="H103">
            <v>77.597631250000006</v>
          </cell>
          <cell r="I103">
            <v>75.800326829999989</v>
          </cell>
          <cell r="R103">
            <v>76.672165267059697</v>
          </cell>
          <cell r="W103">
            <v>79.500544291053131</v>
          </cell>
          <cell r="AB103">
            <v>81.339261718406021</v>
          </cell>
          <cell r="AG103">
            <v>84.05807269321086</v>
          </cell>
          <cell r="AL103">
            <v>87.709374856215049</v>
          </cell>
        </row>
        <row r="122">
          <cell r="H122">
            <v>0</v>
          </cell>
          <cell r="I122">
            <v>0</v>
          </cell>
          <cell r="R122">
            <v>0</v>
          </cell>
          <cell r="W122">
            <v>0</v>
          </cell>
          <cell r="AB122">
            <v>0</v>
          </cell>
          <cell r="AG122">
            <v>0</v>
          </cell>
          <cell r="AL122">
            <v>0</v>
          </cell>
        </row>
        <row r="171">
          <cell r="H171">
            <v>48.467233780000001</v>
          </cell>
          <cell r="I171">
            <v>22.085180659999999</v>
          </cell>
        </row>
        <row r="180">
          <cell r="H180">
            <v>72.874318060000007</v>
          </cell>
          <cell r="I180">
            <v>60.295213629999992</v>
          </cell>
          <cell r="R180">
            <v>63.215545240000004</v>
          </cell>
          <cell r="W180">
            <v>64.632592682198847</v>
          </cell>
          <cell r="AB180">
            <v>65.763450609804494</v>
          </cell>
          <cell r="AG180">
            <v>66.780867747402795</v>
          </cell>
          <cell r="AL180">
            <v>67.489071416190484</v>
          </cell>
        </row>
      </sheetData>
      <sheetData sheetId="4">
        <row r="6">
          <cell r="H6">
            <v>6893.7466213700009</v>
          </cell>
          <cell r="I6">
            <v>7234.5708767199994</v>
          </cell>
          <cell r="R6">
            <v>7615.2751465405745</v>
          </cell>
          <cell r="W6">
            <v>7889.1581563343134</v>
          </cell>
          <cell r="AB6">
            <v>8138.6708055944364</v>
          </cell>
          <cell r="AG6">
            <v>8418.9245427860769</v>
          </cell>
          <cell r="AL6">
            <v>8675.6387048341967</v>
          </cell>
        </row>
        <row r="10">
          <cell r="G10">
            <v>6213.4170283700005</v>
          </cell>
          <cell r="H10">
            <v>6499.3807921200005</v>
          </cell>
          <cell r="I10">
            <v>6815.5706679599989</v>
          </cell>
          <cell r="R10">
            <v>7284.2646268801645</v>
          </cell>
          <cell r="W10">
            <v>7551.4400078241024</v>
          </cell>
          <cell r="AB10">
            <v>7794.5590624373581</v>
          </cell>
          <cell r="AG10">
            <v>8068.0502787270725</v>
          </cell>
          <cell r="AL10">
            <v>8318.1767148734343</v>
          </cell>
        </row>
        <row r="53">
          <cell r="G53">
            <v>273.79548434000003</v>
          </cell>
          <cell r="H53">
            <v>107.91984495</v>
          </cell>
          <cell r="I53">
            <v>97.43604741</v>
          </cell>
          <cell r="R53">
            <v>0</v>
          </cell>
          <cell r="W53">
            <v>0</v>
          </cell>
          <cell r="AB53">
            <v>0</v>
          </cell>
          <cell r="AG53">
            <v>0</v>
          </cell>
          <cell r="AL53">
            <v>0</v>
          </cell>
        </row>
        <row r="54">
          <cell r="H54">
            <v>47.514658859999997</v>
          </cell>
        </row>
        <row r="59">
          <cell r="G59">
            <v>13.2449677</v>
          </cell>
          <cell r="H59">
            <v>12.956246630000001</v>
          </cell>
          <cell r="I59">
            <v>14.96616875</v>
          </cell>
          <cell r="R59">
            <v>15.587934542605769</v>
          </cell>
          <cell r="W59">
            <v>15.920294509554813</v>
          </cell>
          <cell r="AB59">
            <v>16.24895252201819</v>
          </cell>
          <cell r="AG59">
            <v>16.635661269740805</v>
          </cell>
          <cell r="AL59">
            <v>16.969249499268994</v>
          </cell>
        </row>
        <row r="71">
          <cell r="G71">
            <v>193.21758862000001</v>
          </cell>
          <cell r="H71">
            <v>158.87089508</v>
          </cell>
          <cell r="I71">
            <v>191.40549885999997</v>
          </cell>
          <cell r="R71">
            <v>199.12931945092092</v>
          </cell>
          <cell r="W71">
            <v>204.21245101432399</v>
          </cell>
          <cell r="AB71">
            <v>208.96787991421428</v>
          </cell>
          <cell r="AG71">
            <v>214.01663166730441</v>
          </cell>
          <cell r="AL71">
            <v>218.92597545783246</v>
          </cell>
        </row>
        <row r="83">
          <cell r="G83">
            <v>0.14941246</v>
          </cell>
          <cell r="H83">
            <v>0.16864579000000002</v>
          </cell>
          <cell r="I83">
            <v>0.73243577999999998</v>
          </cell>
          <cell r="R83">
            <v>0.72825625116983739</v>
          </cell>
          <cell r="W83">
            <v>0.72528826948499581</v>
          </cell>
          <cell r="AB83">
            <v>0.72236874724564815</v>
          </cell>
          <cell r="AG83">
            <v>0.71949686272086244</v>
          </cell>
          <cell r="AL83">
            <v>0.71667176013828982</v>
          </cell>
        </row>
        <row r="87">
          <cell r="G87">
            <v>111.07292199</v>
          </cell>
          <cell r="H87">
            <v>114.4501968</v>
          </cell>
          <cell r="I87">
            <v>114.46005796</v>
          </cell>
          <cell r="R87">
            <v>115.56500941571338</v>
          </cell>
          <cell r="W87">
            <v>116.86011471684731</v>
          </cell>
          <cell r="AB87">
            <v>118.17254197360054</v>
          </cell>
          <cell r="AG87">
            <v>119.50247425923695</v>
          </cell>
          <cell r="AL87">
            <v>120.8500932435243</v>
          </cell>
        </row>
        <row r="94">
          <cell r="G94">
            <v>0.43509486999999997</v>
          </cell>
          <cell r="H94">
            <v>0</v>
          </cell>
          <cell r="I94">
            <v>0</v>
          </cell>
          <cell r="R94"/>
          <cell r="W94"/>
          <cell r="AB94"/>
          <cell r="AG94"/>
        </row>
        <row r="102">
          <cell r="H102">
            <v>6893.7466213700009</v>
          </cell>
          <cell r="I102">
            <v>7234.6103347100006</v>
          </cell>
          <cell r="R102">
            <v>7615.2751465405736</v>
          </cell>
          <cell r="W102">
            <v>7889.1581563343143</v>
          </cell>
          <cell r="AB102">
            <v>8138.6708055944373</v>
          </cell>
          <cell r="AG102">
            <v>8418.9245427860769</v>
          </cell>
          <cell r="AL102">
            <v>8675.6387048341967</v>
          </cell>
        </row>
        <row r="107">
          <cell r="H107">
            <v>3132.4160716800002</v>
          </cell>
          <cell r="I107">
            <v>3352.37812231</v>
          </cell>
          <cell r="R107">
            <v>3443.9700552472873</v>
          </cell>
          <cell r="W107">
            <v>3512.4640887295559</v>
          </cell>
          <cell r="AB107">
            <v>3581.285171898046</v>
          </cell>
          <cell r="AG107">
            <v>3650.5238947125549</v>
          </cell>
          <cell r="AL107">
            <v>3719.9725091312648</v>
          </cell>
        </row>
        <row r="133">
          <cell r="H133">
            <v>268.16722089000001</v>
          </cell>
          <cell r="I133">
            <v>240.55728690000001</v>
          </cell>
          <cell r="R133">
            <v>258.90922815723701</v>
          </cell>
          <cell r="W133">
            <v>268.6683826278848</v>
          </cell>
          <cell r="AB133">
            <v>275.45365616519035</v>
          </cell>
          <cell r="AG133">
            <v>284.96455171025087</v>
          </cell>
          <cell r="AL133">
            <v>297.35908307476438</v>
          </cell>
        </row>
        <row r="152">
          <cell r="H152">
            <v>0</v>
          </cell>
          <cell r="I152">
            <v>0</v>
          </cell>
          <cell r="R152">
            <v>0</v>
          </cell>
          <cell r="W152">
            <v>0</v>
          </cell>
          <cell r="AB152">
            <v>0</v>
          </cell>
          <cell r="AG152">
            <v>0</v>
          </cell>
          <cell r="AL152">
            <v>0</v>
          </cell>
        </row>
        <row r="201">
          <cell r="H201">
            <v>2497</v>
          </cell>
          <cell r="I201">
            <v>2596.6026350000002</v>
          </cell>
          <cell r="R201">
            <v>2576.6330410187229</v>
          </cell>
          <cell r="W201">
            <v>2589.4349049114558</v>
          </cell>
          <cell r="AB201">
            <v>2582.3589215078878</v>
          </cell>
          <cell r="AG201">
            <v>2567.6504518749834</v>
          </cell>
          <cell r="AL201">
            <v>2511.9222573443731</v>
          </cell>
        </row>
        <row r="208">
          <cell r="I208">
            <v>146.19300853999999</v>
          </cell>
          <cell r="R208">
            <v>339.83348079705422</v>
          </cell>
          <cell r="W208">
            <v>473.90111069303543</v>
          </cell>
          <cell r="AB208">
            <v>602.43182245774858</v>
          </cell>
          <cell r="AG208">
            <v>782.54287777660693</v>
          </cell>
          <cell r="AL208">
            <v>986.05021362266746</v>
          </cell>
        </row>
        <row r="228">
          <cell r="H228">
            <v>193.13758862000003</v>
          </cell>
          <cell r="I228">
            <v>158.78605741000001</v>
          </cell>
          <cell r="R228">
            <v>191.40549885999997</v>
          </cell>
          <cell r="W228">
            <v>199.12931945092092</v>
          </cell>
          <cell r="AB228">
            <v>206.3034863925223</v>
          </cell>
          <cell r="AG228">
            <v>210.94539155741231</v>
          </cell>
          <cell r="AL228">
            <v>216.29562809732266</v>
          </cell>
        </row>
      </sheetData>
      <sheetData sheetId="5">
        <row r="6">
          <cell r="H6">
            <v>697.76044102999992</v>
          </cell>
          <cell r="I6">
            <v>694.20683297999994</v>
          </cell>
          <cell r="R6">
            <v>752.61466507330113</v>
          </cell>
          <cell r="W6">
            <v>769.2058521039811</v>
          </cell>
          <cell r="AB6">
            <v>787.20908990517364</v>
          </cell>
          <cell r="AG6">
            <v>806.86447341181406</v>
          </cell>
          <cell r="AL6">
            <v>828.80471347613923</v>
          </cell>
        </row>
        <row r="10">
          <cell r="G10">
            <v>646.33154295999998</v>
          </cell>
          <cell r="H10">
            <v>655.85460454999998</v>
          </cell>
          <cell r="I10">
            <v>675.39227533999997</v>
          </cell>
          <cell r="R10">
            <v>709.75971783775765</v>
          </cell>
          <cell r="W10">
            <v>726.00347370333941</v>
          </cell>
          <cell r="AB10">
            <v>742.39234106113383</v>
          </cell>
          <cell r="AG10">
            <v>761.30138839281744</v>
          </cell>
          <cell r="AL10">
            <v>782.69979557276633</v>
          </cell>
        </row>
        <row r="53">
          <cell r="G53">
            <v>0</v>
          </cell>
          <cell r="H53">
            <v>0</v>
          </cell>
          <cell r="I53">
            <v>0</v>
          </cell>
          <cell r="R53">
            <v>23.240742616159245</v>
          </cell>
          <cell r="W53">
            <v>23.210647734601078</v>
          </cell>
          <cell r="AB53">
            <v>24.444163654844196</v>
          </cell>
          <cell r="AG53">
            <v>24.751008476620079</v>
          </cell>
          <cell r="AL53">
            <v>24.795434544164468</v>
          </cell>
        </row>
        <row r="59">
          <cell r="H59">
            <v>-6.1848300000000023E-3</v>
          </cell>
          <cell r="I59">
            <v>0.14516596000000001</v>
          </cell>
          <cell r="R59">
            <v>0.15255119581745685</v>
          </cell>
          <cell r="W59">
            <v>0.1560378830102678</v>
          </cell>
          <cell r="AB59">
            <v>0.15955531074795637</v>
          </cell>
          <cell r="AG59">
            <v>0.16361428597909283</v>
          </cell>
          <cell r="AL59">
            <v>0.16820814643779405</v>
          </cell>
        </row>
        <row r="71">
          <cell r="G71">
            <v>33.495199190000001</v>
          </cell>
          <cell r="H71">
            <v>41.91202131</v>
          </cell>
          <cell r="I71">
            <v>18.66939168</v>
          </cell>
          <cell r="R71">
            <v>19.461653423566865</v>
          </cell>
          <cell r="W71">
            <v>19.835692783030389</v>
          </cell>
          <cell r="AB71">
            <v>20.213029878447777</v>
          </cell>
          <cell r="AG71">
            <v>20.648462256397522</v>
          </cell>
          <cell r="AL71">
            <v>21.141275212770637</v>
          </cell>
        </row>
        <row r="102">
          <cell r="H102">
            <v>697.76044103000015</v>
          </cell>
          <cell r="I102">
            <v>694.20683297999994</v>
          </cell>
          <cell r="R102">
            <v>752.61466507330113</v>
          </cell>
          <cell r="W102">
            <v>769.2058521039811</v>
          </cell>
          <cell r="AB102">
            <v>787.20908990517364</v>
          </cell>
          <cell r="AG102">
            <v>806.86447341181417</v>
          </cell>
          <cell r="AL102">
            <v>828.80471347613934</v>
          </cell>
        </row>
        <row r="107">
          <cell r="H107">
            <v>0</v>
          </cell>
          <cell r="I107">
            <v>0</v>
          </cell>
          <cell r="R107">
            <v>0</v>
          </cell>
          <cell r="W107">
            <v>0</v>
          </cell>
          <cell r="AB107">
            <v>0</v>
          </cell>
          <cell r="AG107">
            <v>0</v>
          </cell>
          <cell r="AL107">
            <v>0</v>
          </cell>
        </row>
        <row r="152">
          <cell r="H152">
            <v>0</v>
          </cell>
          <cell r="I152">
            <v>0</v>
          </cell>
          <cell r="R152">
            <v>0</v>
          </cell>
          <cell r="W152">
            <v>0</v>
          </cell>
          <cell r="AB152">
            <v>0</v>
          </cell>
          <cell r="AG152">
            <v>0</v>
          </cell>
          <cell r="AL152">
            <v>0</v>
          </cell>
        </row>
        <row r="208">
          <cell r="H208">
            <v>0</v>
          </cell>
          <cell r="I208">
            <v>0</v>
          </cell>
          <cell r="R208">
            <v>0</v>
          </cell>
          <cell r="W208">
            <v>0</v>
          </cell>
          <cell r="AB208">
            <v>0</v>
          </cell>
          <cell r="AG208">
            <v>0</v>
          </cell>
          <cell r="AL208">
            <v>0</v>
          </cell>
        </row>
        <row r="228">
          <cell r="H228">
            <v>31.258629859999999</v>
          </cell>
          <cell r="I228">
            <v>22.62901802</v>
          </cell>
        </row>
      </sheetData>
      <sheetData sheetId="6"/>
      <sheetData sheetId="7"/>
      <sheetData sheetId="8"/>
      <sheetData sheetId="9"/>
      <sheetData sheetId="10"/>
      <sheetData sheetId="11">
        <row r="11">
          <cell r="O11">
            <v>554.72239060999982</v>
          </cell>
          <cell r="P11">
            <v>601.75679587999991</v>
          </cell>
          <cell r="Q11">
            <v>631.76749451129604</v>
          </cell>
          <cell r="R11">
            <v>654.29443511182444</v>
          </cell>
          <cell r="S11">
            <v>676.44619989722253</v>
          </cell>
          <cell r="T11">
            <v>699.86461896253854</v>
          </cell>
          <cell r="U11">
            <v>724.5788774771579</v>
          </cell>
        </row>
        <row r="19">
          <cell r="O19">
            <v>368.04242822999993</v>
          </cell>
          <cell r="P19">
            <v>403.37206431999982</v>
          </cell>
          <cell r="Q19">
            <v>423.48895770591378</v>
          </cell>
          <cell r="R19">
            <v>438.5893081957729</v>
          </cell>
          <cell r="S19">
            <v>453.4381693065705</v>
          </cell>
          <cell r="T19">
            <v>469.13609926854582</v>
          </cell>
          <cell r="U19">
            <v>485.70266160320153</v>
          </cell>
        </row>
        <row r="29">
          <cell r="O29">
            <v>181.61664407000004</v>
          </cell>
          <cell r="P29">
            <v>199.02363040000003</v>
          </cell>
          <cell r="Q29">
            <v>208.94930059865922</v>
          </cell>
          <cell r="R29">
            <v>216.39980814138903</v>
          </cell>
          <cell r="S29">
            <v>223.7262309142406</v>
          </cell>
          <cell r="T29">
            <v>231.4715839552502</v>
          </cell>
          <cell r="U29">
            <v>239.64551989894545</v>
          </cell>
        </row>
        <row r="41">
          <cell r="O41">
            <v>1.9189196700000148</v>
          </cell>
          <cell r="P41">
            <v>2.6722583900000032</v>
          </cell>
          <cell r="Q41">
            <v>2.80552874399736</v>
          </cell>
          <cell r="R41">
            <v>2.9055655137238419</v>
          </cell>
          <cell r="S41">
            <v>3.0039362171481727</v>
          </cell>
          <cell r="T41">
            <v>3.1079318300873013</v>
          </cell>
          <cell r="U41">
            <v>3.217681956916763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adie"/>
      <sheetName val="AT"/>
      <sheetName val="Famille"/>
      <sheetName val="Vieillesse"/>
      <sheetName val="SASPA"/>
      <sheetName val="Feuil1"/>
      <sheetName val="Prev Cot Exo"/>
      <sheetName val="Solde Cot Exo"/>
      <sheetName val="Hypotheses"/>
      <sheetName val="allégts généraux 2021"/>
      <sheetName val="allégts généraux 2020"/>
      <sheetName val="allégts généraux 2019"/>
      <sheetName val="PàR2021"/>
      <sheetName val="PàR2020"/>
      <sheetName val="PàR2019"/>
      <sheetName val="PàR2018"/>
      <sheetName val="allégts généraux 2018"/>
      <sheetName val="allégts généraux 2017"/>
      <sheetName val="recettes"/>
      <sheetName val="compens"/>
      <sheetName val="Contribution RG"/>
      <sheetName val="Synthese"/>
      <sheetName val="Soldes Tech Gest"/>
      <sheetName val="Resultat NSA+SA"/>
      <sheetName val="Commentaire"/>
      <sheetName val="CPSS"/>
    </sheetNames>
    <sheetDataSet>
      <sheetData sheetId="0">
        <row r="6">
          <cell r="H6">
            <v>6860.9779221400004</v>
          </cell>
        </row>
        <row r="252">
          <cell r="H252">
            <v>2672.4198642800002</v>
          </cell>
        </row>
      </sheetData>
      <sheetData sheetId="1">
        <row r="6">
          <cell r="H6">
            <v>702.02691303999995</v>
          </cell>
        </row>
      </sheetData>
      <sheetData sheetId="2">
        <row r="6">
          <cell r="H6">
            <v>986.46949825000002</v>
          </cell>
        </row>
        <row r="171">
          <cell r="H171">
            <v>193.54892878000001</v>
          </cell>
        </row>
      </sheetData>
      <sheetData sheetId="3">
        <row r="6">
          <cell r="H6">
            <v>6704.1865379800029</v>
          </cell>
        </row>
        <row r="54">
          <cell r="H54">
            <v>248.57770237</v>
          </cell>
        </row>
      </sheetData>
      <sheetData sheetId="4">
        <row r="6">
          <cell r="H6">
            <v>672.68755252000005</v>
          </cell>
        </row>
        <row r="208">
          <cell r="H208">
            <v>0</v>
          </cell>
        </row>
      </sheetData>
      <sheetData sheetId="5"/>
      <sheetData sheetId="6">
        <row r="11">
          <cell r="N11">
            <v>444.33721217000021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adie"/>
      <sheetName val="Maladie BS"/>
      <sheetName val="AT"/>
      <sheetName val="Famille"/>
      <sheetName val="PEC"/>
      <sheetName val="Vieillesse"/>
      <sheetName val="SASPA"/>
      <sheetName val="Feuil1"/>
      <sheetName val="Prev Cot Exo 2022"/>
      <sheetName val="Prev Cot Exo (2)"/>
      <sheetName val="Prev Cot Exo"/>
      <sheetName val="Solde Cot Exo"/>
      <sheetName val="Hypotheses"/>
      <sheetName val="allégts généraux 2022"/>
      <sheetName val="allégts généraux 2021"/>
      <sheetName val="allégts généraux 2020"/>
      <sheetName val="allégts généraux 2019"/>
      <sheetName val="PàR2021"/>
      <sheetName val="PàR2020"/>
      <sheetName val="PàR2019"/>
      <sheetName val="PàR2018"/>
      <sheetName val="allégts généraux 2018"/>
      <sheetName val="allégts généraux 2017"/>
      <sheetName val="recettes"/>
      <sheetName val="compens"/>
      <sheetName val="Contribution RG"/>
      <sheetName val="Synthese"/>
      <sheetName val="Soldes Tech Gest"/>
      <sheetName val="Resultat NSA+SA"/>
      <sheetName val="Commentaire"/>
      <sheetName val="CPSS"/>
    </sheetNames>
    <sheetDataSet>
      <sheetData sheetId="0">
        <row r="6">
          <cell r="H6">
            <v>5880.6084375599994</v>
          </cell>
        </row>
      </sheetData>
      <sheetData sheetId="1"/>
      <sheetData sheetId="2">
        <row r="6">
          <cell r="H6">
            <v>725.69352690000005</v>
          </cell>
        </row>
      </sheetData>
      <sheetData sheetId="3">
        <row r="6">
          <cell r="H6">
            <v>953.31687942999997</v>
          </cell>
        </row>
      </sheetData>
      <sheetData sheetId="4"/>
      <sheetData sheetId="5">
        <row r="6">
          <cell r="H6">
            <v>6805.3324983500024</v>
          </cell>
        </row>
        <row r="94">
          <cell r="AL94">
            <v>0</v>
          </cell>
        </row>
      </sheetData>
      <sheetData sheetId="6">
        <row r="6">
          <cell r="H6">
            <v>679.87717814999996</v>
          </cell>
        </row>
        <row r="228">
          <cell r="R228">
            <v>41.91202131</v>
          </cell>
          <cell r="W228">
            <v>42.66061000553762</v>
          </cell>
          <cell r="AB228">
            <v>44.320451212441696</v>
          </cell>
          <cell r="AG228">
            <v>44.995297037833581</v>
          </cell>
          <cell r="AL228">
            <v>45.460264535521397</v>
          </cell>
        </row>
      </sheetData>
      <sheetData sheetId="7"/>
      <sheetData sheetId="8"/>
      <sheetData sheetId="9">
        <row r="10">
          <cell r="O10">
            <v>477.2197766700001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umanoir.newten@ccmsa.msa.fr" TargetMode="External"/><Relationship Id="rId2" Type="http://schemas.openxmlformats.org/officeDocument/2006/relationships/hyperlink" Target="mailto:foucaud.david@ccmsa.msa.fr" TargetMode="External"/><Relationship Id="rId1" Type="http://schemas.openxmlformats.org/officeDocument/2006/relationships/hyperlink" Target="mailto:joubert.nadia@ccmsa.msa.fr" TargetMode="External"/><Relationship Id="rId4" Type="http://schemas.openxmlformats.org/officeDocument/2006/relationships/hyperlink" Target="mailto:sevestre.yannick@ccmsa.msa.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401EC-919A-4959-9F15-CEA820A52F61}">
  <sheetPr>
    <tabColor rgb="FF002060"/>
  </sheetPr>
  <dimension ref="A1:AE246"/>
  <sheetViews>
    <sheetView showGridLines="0" tabSelected="1" workbookViewId="0"/>
  </sheetViews>
  <sheetFormatPr baseColWidth="10" defaultRowHeight="12.75" x14ac:dyDescent="0.2"/>
  <cols>
    <col min="8" max="31" width="10.85546875" style="569"/>
  </cols>
  <sheetData>
    <row r="1" spans="1:7" ht="16.5" thickTop="1" x14ac:dyDescent="0.25">
      <c r="A1" s="566"/>
      <c r="B1" s="567"/>
      <c r="C1" s="567"/>
      <c r="D1" s="567"/>
      <c r="E1" s="567"/>
      <c r="F1" s="567"/>
      <c r="G1" s="568" t="s">
        <v>301</v>
      </c>
    </row>
    <row r="2" spans="1:7" x14ac:dyDescent="0.2">
      <c r="A2" s="570"/>
      <c r="G2" s="571"/>
    </row>
    <row r="3" spans="1:7" x14ac:dyDescent="0.2">
      <c r="A3" s="570"/>
      <c r="G3" s="571"/>
    </row>
    <row r="4" spans="1:7" x14ac:dyDescent="0.2">
      <c r="A4" s="570"/>
      <c r="G4" s="571"/>
    </row>
    <row r="5" spans="1:7" x14ac:dyDescent="0.2">
      <c r="A5" s="570"/>
      <c r="G5" s="571"/>
    </row>
    <row r="6" spans="1:7" ht="26.25" x14ac:dyDescent="0.2">
      <c r="A6" s="581" t="s">
        <v>287</v>
      </c>
      <c r="B6" s="582"/>
      <c r="C6" s="582"/>
      <c r="D6" s="582"/>
      <c r="E6" s="582"/>
      <c r="F6" s="582"/>
      <c r="G6" s="583"/>
    </row>
    <row r="7" spans="1:7" ht="26.25" x14ac:dyDescent="0.2">
      <c r="A7" s="581" t="s">
        <v>288</v>
      </c>
      <c r="B7" s="582"/>
      <c r="C7" s="582"/>
      <c r="D7" s="582"/>
      <c r="E7" s="582"/>
      <c r="F7" s="582"/>
      <c r="G7" s="583"/>
    </row>
    <row r="8" spans="1:7" ht="24.95" customHeight="1" x14ac:dyDescent="0.35">
      <c r="A8" s="584" t="s">
        <v>302</v>
      </c>
      <c r="B8" s="585"/>
      <c r="C8" s="585"/>
      <c r="D8" s="585"/>
      <c r="E8" s="585"/>
      <c r="F8" s="585"/>
      <c r="G8" s="586"/>
    </row>
    <row r="9" spans="1:7" x14ac:dyDescent="0.2">
      <c r="A9" s="570"/>
      <c r="G9" s="571"/>
    </row>
    <row r="10" spans="1:7" x14ac:dyDescent="0.2">
      <c r="A10" s="570"/>
      <c r="G10" s="571"/>
    </row>
    <row r="11" spans="1:7" x14ac:dyDescent="0.2">
      <c r="A11" s="570"/>
      <c r="G11" s="572" t="s">
        <v>289</v>
      </c>
    </row>
    <row r="12" spans="1:7" x14ac:dyDescent="0.2">
      <c r="A12" s="570" t="s">
        <v>290</v>
      </c>
      <c r="G12" s="571"/>
    </row>
    <row r="13" spans="1:7" x14ac:dyDescent="0.2">
      <c r="A13" s="573" t="s">
        <v>291</v>
      </c>
      <c r="G13" s="571"/>
    </row>
    <row r="14" spans="1:7" x14ac:dyDescent="0.2">
      <c r="A14" s="574" t="s">
        <v>292</v>
      </c>
      <c r="G14" s="571"/>
    </row>
    <row r="15" spans="1:7" x14ac:dyDescent="0.2">
      <c r="A15" s="575"/>
      <c r="G15" s="571"/>
    </row>
    <row r="16" spans="1:7" x14ac:dyDescent="0.2">
      <c r="A16" s="573" t="s">
        <v>293</v>
      </c>
      <c r="G16" s="571"/>
    </row>
    <row r="17" spans="1:7" x14ac:dyDescent="0.2">
      <c r="A17" s="573" t="s">
        <v>294</v>
      </c>
      <c r="G17" s="571"/>
    </row>
    <row r="18" spans="1:7" x14ac:dyDescent="0.2">
      <c r="A18" s="574" t="s">
        <v>295</v>
      </c>
      <c r="G18" s="571"/>
    </row>
    <row r="19" spans="1:7" x14ac:dyDescent="0.2">
      <c r="A19" s="574"/>
      <c r="G19" s="571"/>
    </row>
    <row r="20" spans="1:7" x14ac:dyDescent="0.2">
      <c r="A20" s="576" t="s">
        <v>296</v>
      </c>
      <c r="G20" s="571"/>
    </row>
    <row r="21" spans="1:7" x14ac:dyDescent="0.2">
      <c r="A21" s="576" t="s">
        <v>297</v>
      </c>
      <c r="G21" s="571"/>
    </row>
    <row r="22" spans="1:7" x14ac:dyDescent="0.2">
      <c r="A22" s="574" t="s">
        <v>298</v>
      </c>
      <c r="G22" s="571"/>
    </row>
    <row r="23" spans="1:7" x14ac:dyDescent="0.2">
      <c r="A23" s="574"/>
      <c r="G23" s="571"/>
    </row>
    <row r="24" spans="1:7" x14ac:dyDescent="0.2">
      <c r="A24" s="577" t="s">
        <v>299</v>
      </c>
      <c r="G24" s="571"/>
    </row>
    <row r="25" spans="1:7" x14ac:dyDescent="0.2">
      <c r="A25" s="574" t="s">
        <v>300</v>
      </c>
      <c r="G25" s="571"/>
    </row>
    <row r="26" spans="1:7" ht="13.5" thickBot="1" x14ac:dyDescent="0.25">
      <c r="A26" s="578"/>
      <c r="B26" s="579"/>
      <c r="C26" s="579"/>
      <c r="D26" s="579"/>
      <c r="E26" s="579"/>
      <c r="F26" s="579"/>
      <c r="G26" s="580"/>
    </row>
    <row r="27" spans="1:7" s="569" customFormat="1" ht="13.5" thickTop="1" x14ac:dyDescent="0.2"/>
    <row r="28" spans="1:7" s="569" customFormat="1" x14ac:dyDescent="0.2"/>
    <row r="29" spans="1:7" s="569" customFormat="1" x14ac:dyDescent="0.2"/>
    <row r="30" spans="1:7" s="569" customFormat="1" x14ac:dyDescent="0.2"/>
    <row r="31" spans="1:7" s="569" customFormat="1" x14ac:dyDescent="0.2"/>
    <row r="32" spans="1:7" s="569" customFormat="1" x14ac:dyDescent="0.2"/>
    <row r="33" s="569" customFormat="1" x14ac:dyDescent="0.2"/>
    <row r="34" s="569" customFormat="1" x14ac:dyDescent="0.2"/>
    <row r="35" s="569" customFormat="1" x14ac:dyDescent="0.2"/>
    <row r="36" s="569" customFormat="1" x14ac:dyDescent="0.2"/>
    <row r="37" s="569" customFormat="1" x14ac:dyDescent="0.2"/>
    <row r="38" s="569" customFormat="1" x14ac:dyDescent="0.2"/>
    <row r="39" s="569" customFormat="1" x14ac:dyDescent="0.2"/>
    <row r="40" s="569" customFormat="1" x14ac:dyDescent="0.2"/>
    <row r="41" s="569" customFormat="1" x14ac:dyDescent="0.2"/>
    <row r="42" s="569" customFormat="1" x14ac:dyDescent="0.2"/>
    <row r="43" s="569" customFormat="1" x14ac:dyDescent="0.2"/>
    <row r="44" s="569" customFormat="1" x14ac:dyDescent="0.2"/>
    <row r="45" s="569" customFormat="1" x14ac:dyDescent="0.2"/>
    <row r="46" s="569" customFormat="1" x14ac:dyDescent="0.2"/>
    <row r="47" s="569" customFormat="1" x14ac:dyDescent="0.2"/>
    <row r="48" s="569" customFormat="1" x14ac:dyDescent="0.2"/>
    <row r="49" s="569" customFormat="1" x14ac:dyDescent="0.2"/>
    <row r="50" s="569" customFormat="1" x14ac:dyDescent="0.2"/>
    <row r="51" s="569" customFormat="1" x14ac:dyDescent="0.2"/>
    <row r="52" s="569" customFormat="1" x14ac:dyDescent="0.2"/>
    <row r="53" s="569" customFormat="1" x14ac:dyDescent="0.2"/>
    <row r="54" s="569" customFormat="1" x14ac:dyDescent="0.2"/>
    <row r="55" s="569" customFormat="1" x14ac:dyDescent="0.2"/>
    <row r="56" s="569" customFormat="1" x14ac:dyDescent="0.2"/>
    <row r="57" s="569" customFormat="1" x14ac:dyDescent="0.2"/>
    <row r="58" s="569" customFormat="1" x14ac:dyDescent="0.2"/>
    <row r="59" s="569" customFormat="1" x14ac:dyDescent="0.2"/>
    <row r="60" s="569" customFormat="1" x14ac:dyDescent="0.2"/>
    <row r="61" s="569" customFormat="1" x14ac:dyDescent="0.2"/>
    <row r="62" s="569" customFormat="1" x14ac:dyDescent="0.2"/>
    <row r="63" s="569" customFormat="1" x14ac:dyDescent="0.2"/>
    <row r="64" s="569" customFormat="1" x14ac:dyDescent="0.2"/>
    <row r="65" s="569" customFormat="1" x14ac:dyDescent="0.2"/>
    <row r="66" s="569" customFormat="1" x14ac:dyDescent="0.2"/>
    <row r="67" s="569" customFormat="1" x14ac:dyDescent="0.2"/>
    <row r="68" s="569" customFormat="1" x14ac:dyDescent="0.2"/>
    <row r="69" s="569" customFormat="1" x14ac:dyDescent="0.2"/>
    <row r="70" s="569" customFormat="1" x14ac:dyDescent="0.2"/>
    <row r="71" s="569" customFormat="1" x14ac:dyDescent="0.2"/>
    <row r="72" s="569" customFormat="1" x14ac:dyDescent="0.2"/>
    <row r="73" s="569" customFormat="1" x14ac:dyDescent="0.2"/>
    <row r="74" s="569" customFormat="1" x14ac:dyDescent="0.2"/>
    <row r="75" s="569" customFormat="1" x14ac:dyDescent="0.2"/>
    <row r="76" s="569" customFormat="1" x14ac:dyDescent="0.2"/>
    <row r="77" s="569" customFormat="1" x14ac:dyDescent="0.2"/>
    <row r="78" s="569" customFormat="1" x14ac:dyDescent="0.2"/>
    <row r="79" s="569" customFormat="1" x14ac:dyDescent="0.2"/>
    <row r="80" s="569" customFormat="1" x14ac:dyDescent="0.2"/>
    <row r="81" s="569" customFormat="1" x14ac:dyDescent="0.2"/>
    <row r="82" s="569" customFormat="1" x14ac:dyDescent="0.2"/>
    <row r="83" s="569" customFormat="1" x14ac:dyDescent="0.2"/>
    <row r="84" s="569" customFormat="1" x14ac:dyDescent="0.2"/>
    <row r="85" s="569" customFormat="1" x14ac:dyDescent="0.2"/>
    <row r="86" s="569" customFormat="1" x14ac:dyDescent="0.2"/>
    <row r="87" s="569" customFormat="1" x14ac:dyDescent="0.2"/>
    <row r="88" s="569" customFormat="1" x14ac:dyDescent="0.2"/>
    <row r="89" s="569" customFormat="1" x14ac:dyDescent="0.2"/>
    <row r="90" s="569" customFormat="1" x14ac:dyDescent="0.2"/>
    <row r="91" s="569" customFormat="1" x14ac:dyDescent="0.2"/>
    <row r="92" s="569" customFormat="1" x14ac:dyDescent="0.2"/>
    <row r="93" s="569" customFormat="1" x14ac:dyDescent="0.2"/>
    <row r="94" s="569" customFormat="1" x14ac:dyDescent="0.2"/>
    <row r="95" s="569" customFormat="1" x14ac:dyDescent="0.2"/>
    <row r="96" s="569" customFormat="1" x14ac:dyDescent="0.2"/>
    <row r="97" s="569" customFormat="1" x14ac:dyDescent="0.2"/>
    <row r="98" s="569" customFormat="1" x14ac:dyDescent="0.2"/>
    <row r="99" s="569" customFormat="1" x14ac:dyDescent="0.2"/>
    <row r="100" s="569" customFormat="1" x14ac:dyDescent="0.2"/>
    <row r="101" s="569" customFormat="1" x14ac:dyDescent="0.2"/>
    <row r="102" s="569" customFormat="1" x14ac:dyDescent="0.2"/>
    <row r="103" s="569" customFormat="1" x14ac:dyDescent="0.2"/>
    <row r="104" s="569" customFormat="1" x14ac:dyDescent="0.2"/>
    <row r="105" s="569" customFormat="1" x14ac:dyDescent="0.2"/>
    <row r="106" s="569" customFormat="1" x14ac:dyDescent="0.2"/>
    <row r="107" s="569" customFormat="1" x14ac:dyDescent="0.2"/>
    <row r="108" s="569" customFormat="1" x14ac:dyDescent="0.2"/>
    <row r="109" s="569" customFormat="1" x14ac:dyDescent="0.2"/>
    <row r="110" s="569" customFormat="1" x14ac:dyDescent="0.2"/>
    <row r="111" s="569" customFormat="1" x14ac:dyDescent="0.2"/>
    <row r="112" s="569" customFormat="1" x14ac:dyDescent="0.2"/>
    <row r="113" s="569" customFormat="1" x14ac:dyDescent="0.2"/>
    <row r="114" s="569" customFormat="1" x14ac:dyDescent="0.2"/>
    <row r="115" s="569" customFormat="1" x14ac:dyDescent="0.2"/>
    <row r="116" s="569" customFormat="1" x14ac:dyDescent="0.2"/>
    <row r="117" s="569" customFormat="1" x14ac:dyDescent="0.2"/>
    <row r="118" s="569" customFormat="1" x14ac:dyDescent="0.2"/>
    <row r="119" s="569" customFormat="1" x14ac:dyDescent="0.2"/>
    <row r="120" s="569" customFormat="1" x14ac:dyDescent="0.2"/>
    <row r="121" s="569" customFormat="1" x14ac:dyDescent="0.2"/>
    <row r="122" s="569" customFormat="1" x14ac:dyDescent="0.2"/>
    <row r="123" s="569" customFormat="1" x14ac:dyDescent="0.2"/>
    <row r="124" s="569" customFormat="1" x14ac:dyDescent="0.2"/>
    <row r="125" s="569" customFormat="1" x14ac:dyDescent="0.2"/>
    <row r="126" s="569" customFormat="1" x14ac:dyDescent="0.2"/>
    <row r="127" s="569" customFormat="1" x14ac:dyDescent="0.2"/>
    <row r="128" s="569" customFormat="1" x14ac:dyDescent="0.2"/>
    <row r="129" s="569" customFormat="1" x14ac:dyDescent="0.2"/>
    <row r="130" s="569" customFormat="1" x14ac:dyDescent="0.2"/>
    <row r="131" s="569" customFormat="1" x14ac:dyDescent="0.2"/>
    <row r="132" s="569" customFormat="1" x14ac:dyDescent="0.2"/>
    <row r="133" s="569" customFormat="1" x14ac:dyDescent="0.2"/>
    <row r="134" s="569" customFormat="1" x14ac:dyDescent="0.2"/>
    <row r="135" s="569" customFormat="1" x14ac:dyDescent="0.2"/>
    <row r="136" s="569" customFormat="1" x14ac:dyDescent="0.2"/>
    <row r="137" s="569" customFormat="1" x14ac:dyDescent="0.2"/>
    <row r="138" s="569" customFormat="1" x14ac:dyDescent="0.2"/>
    <row r="139" s="569" customFormat="1" x14ac:dyDescent="0.2"/>
    <row r="140" s="569" customFormat="1" x14ac:dyDescent="0.2"/>
    <row r="141" s="569" customFormat="1" x14ac:dyDescent="0.2"/>
    <row r="142" s="569" customFormat="1" x14ac:dyDescent="0.2"/>
    <row r="143" s="569" customFormat="1" x14ac:dyDescent="0.2"/>
    <row r="144" s="569" customFormat="1" x14ac:dyDescent="0.2"/>
    <row r="145" s="569" customFormat="1" x14ac:dyDescent="0.2"/>
    <row r="146" s="569" customFormat="1" x14ac:dyDescent="0.2"/>
    <row r="147" s="569" customFormat="1" x14ac:dyDescent="0.2"/>
    <row r="148" s="569" customFormat="1" x14ac:dyDescent="0.2"/>
    <row r="149" s="569" customFormat="1" x14ac:dyDescent="0.2"/>
    <row r="150" s="569" customFormat="1" x14ac:dyDescent="0.2"/>
    <row r="151" s="569" customFormat="1" x14ac:dyDescent="0.2"/>
    <row r="152" s="569" customFormat="1" x14ac:dyDescent="0.2"/>
    <row r="153" s="569" customFormat="1" x14ac:dyDescent="0.2"/>
    <row r="154" s="569" customFormat="1" x14ac:dyDescent="0.2"/>
    <row r="155" s="569" customFormat="1" x14ac:dyDescent="0.2"/>
    <row r="156" s="569" customFormat="1" x14ac:dyDescent="0.2"/>
    <row r="157" s="569" customFormat="1" x14ac:dyDescent="0.2"/>
    <row r="158" s="569" customFormat="1" x14ac:dyDescent="0.2"/>
    <row r="159" s="569" customFormat="1" x14ac:dyDescent="0.2"/>
    <row r="160" s="569" customFormat="1" x14ac:dyDescent="0.2"/>
    <row r="161" s="569" customFormat="1" x14ac:dyDescent="0.2"/>
    <row r="162" s="569" customFormat="1" x14ac:dyDescent="0.2"/>
    <row r="163" s="569" customFormat="1" x14ac:dyDescent="0.2"/>
    <row r="164" s="569" customFormat="1" x14ac:dyDescent="0.2"/>
    <row r="165" s="569" customFormat="1" x14ac:dyDescent="0.2"/>
    <row r="166" s="569" customFormat="1" x14ac:dyDescent="0.2"/>
    <row r="167" s="569" customFormat="1" x14ac:dyDescent="0.2"/>
    <row r="168" s="569" customFormat="1" x14ac:dyDescent="0.2"/>
    <row r="169" s="569" customFormat="1" x14ac:dyDescent="0.2"/>
    <row r="170" s="569" customFormat="1" x14ac:dyDescent="0.2"/>
    <row r="171" s="569" customFormat="1" x14ac:dyDescent="0.2"/>
    <row r="172" s="569" customFormat="1" x14ac:dyDescent="0.2"/>
    <row r="173" s="569" customFormat="1" x14ac:dyDescent="0.2"/>
    <row r="174" s="569" customFormat="1" x14ac:dyDescent="0.2"/>
    <row r="175" s="569" customFormat="1" x14ac:dyDescent="0.2"/>
    <row r="176" s="569" customFormat="1" x14ac:dyDescent="0.2"/>
    <row r="177" s="569" customFormat="1" x14ac:dyDescent="0.2"/>
    <row r="178" s="569" customFormat="1" x14ac:dyDescent="0.2"/>
    <row r="179" s="569" customFormat="1" x14ac:dyDescent="0.2"/>
    <row r="180" s="569" customFormat="1" x14ac:dyDescent="0.2"/>
    <row r="181" s="569" customFormat="1" x14ac:dyDescent="0.2"/>
    <row r="182" s="569" customFormat="1" x14ac:dyDescent="0.2"/>
    <row r="183" s="569" customFormat="1" x14ac:dyDescent="0.2"/>
    <row r="184" s="569" customFormat="1" x14ac:dyDescent="0.2"/>
    <row r="185" s="569" customFormat="1" x14ac:dyDescent="0.2"/>
    <row r="186" s="569" customFormat="1" x14ac:dyDescent="0.2"/>
    <row r="187" s="569" customFormat="1" x14ac:dyDescent="0.2"/>
    <row r="188" s="569" customFormat="1" x14ac:dyDescent="0.2"/>
    <row r="189" s="569" customFormat="1" x14ac:dyDescent="0.2"/>
    <row r="190" s="569" customFormat="1" x14ac:dyDescent="0.2"/>
    <row r="191" s="569" customFormat="1" x14ac:dyDescent="0.2"/>
    <row r="192" s="569" customFormat="1" x14ac:dyDescent="0.2"/>
    <row r="193" s="569" customFormat="1" x14ac:dyDescent="0.2"/>
    <row r="194" s="569" customFormat="1" x14ac:dyDescent="0.2"/>
    <row r="195" s="569" customFormat="1" x14ac:dyDescent="0.2"/>
    <row r="196" s="569" customFormat="1" x14ac:dyDescent="0.2"/>
    <row r="197" s="569" customFormat="1" x14ac:dyDescent="0.2"/>
    <row r="198" s="569" customFormat="1" x14ac:dyDescent="0.2"/>
    <row r="199" s="569" customFormat="1" x14ac:dyDescent="0.2"/>
    <row r="200" s="569" customFormat="1" x14ac:dyDescent="0.2"/>
    <row r="201" s="569" customFormat="1" x14ac:dyDescent="0.2"/>
    <row r="202" s="569" customFormat="1" x14ac:dyDescent="0.2"/>
    <row r="203" s="569" customFormat="1" x14ac:dyDescent="0.2"/>
    <row r="204" s="569" customFormat="1" x14ac:dyDescent="0.2"/>
    <row r="205" s="569" customFormat="1" x14ac:dyDescent="0.2"/>
    <row r="206" s="569" customFormat="1" x14ac:dyDescent="0.2"/>
    <row r="207" s="569" customFormat="1" x14ac:dyDescent="0.2"/>
    <row r="208" s="569" customFormat="1" x14ac:dyDescent="0.2"/>
    <row r="209" s="569" customFormat="1" x14ac:dyDescent="0.2"/>
    <row r="210" s="569" customFormat="1" x14ac:dyDescent="0.2"/>
    <row r="211" s="569" customFormat="1" x14ac:dyDescent="0.2"/>
    <row r="212" s="569" customFormat="1" x14ac:dyDescent="0.2"/>
    <row r="213" s="569" customFormat="1" x14ac:dyDescent="0.2"/>
    <row r="214" s="569" customFormat="1" x14ac:dyDescent="0.2"/>
    <row r="215" s="569" customFormat="1" x14ac:dyDescent="0.2"/>
    <row r="216" s="569" customFormat="1" x14ac:dyDescent="0.2"/>
    <row r="217" s="569" customFormat="1" x14ac:dyDescent="0.2"/>
    <row r="218" s="569" customFormat="1" x14ac:dyDescent="0.2"/>
    <row r="219" s="569" customFormat="1" x14ac:dyDescent="0.2"/>
    <row r="220" s="569" customFormat="1" x14ac:dyDescent="0.2"/>
    <row r="221" s="569" customFormat="1" x14ac:dyDescent="0.2"/>
    <row r="222" s="569" customFormat="1" x14ac:dyDescent="0.2"/>
    <row r="223" s="569" customFormat="1" x14ac:dyDescent="0.2"/>
    <row r="224" s="569" customFormat="1" x14ac:dyDescent="0.2"/>
    <row r="225" s="569" customFormat="1" x14ac:dyDescent="0.2"/>
    <row r="226" s="569" customFormat="1" x14ac:dyDescent="0.2"/>
    <row r="227" s="569" customFormat="1" x14ac:dyDescent="0.2"/>
    <row r="228" s="569" customFormat="1" x14ac:dyDescent="0.2"/>
    <row r="229" s="569" customFormat="1" x14ac:dyDescent="0.2"/>
    <row r="230" s="569" customFormat="1" x14ac:dyDescent="0.2"/>
    <row r="231" s="569" customFormat="1" x14ac:dyDescent="0.2"/>
    <row r="232" s="569" customFormat="1" x14ac:dyDescent="0.2"/>
    <row r="233" s="569" customFormat="1" x14ac:dyDescent="0.2"/>
    <row r="234" s="569" customFormat="1" x14ac:dyDescent="0.2"/>
    <row r="235" s="569" customFormat="1" x14ac:dyDescent="0.2"/>
    <row r="236" s="569" customFormat="1" x14ac:dyDescent="0.2"/>
    <row r="237" s="569" customFormat="1" x14ac:dyDescent="0.2"/>
    <row r="238" s="569" customFormat="1" x14ac:dyDescent="0.2"/>
    <row r="239" s="569" customFormat="1" x14ac:dyDescent="0.2"/>
    <row r="240" s="569" customFormat="1" x14ac:dyDescent="0.2"/>
    <row r="241" s="569" customFormat="1" x14ac:dyDescent="0.2"/>
    <row r="242" s="569" customFormat="1" x14ac:dyDescent="0.2"/>
    <row r="243" s="569" customFormat="1" x14ac:dyDescent="0.2"/>
    <row r="244" s="569" customFormat="1" x14ac:dyDescent="0.2"/>
    <row r="245" s="569" customFormat="1" x14ac:dyDescent="0.2"/>
    <row r="246" s="569" customFormat="1" x14ac:dyDescent="0.2"/>
  </sheetData>
  <mergeCells count="3">
    <mergeCell ref="A6:G6"/>
    <mergeCell ref="A7:G7"/>
    <mergeCell ref="A8:G8"/>
  </mergeCells>
  <hyperlinks>
    <hyperlink ref="A14" r:id="rId1" display="mailto:joubert.nadia@ccmsa.msa.fr" xr:uid="{8B3051F1-9DF8-4F1D-A9C2-3227DEBB92D9}"/>
    <hyperlink ref="A18" r:id="rId2" xr:uid="{8C27804D-DA31-43F0-9B88-D7ADF383D84D}"/>
    <hyperlink ref="A25" r:id="rId3" xr:uid="{6E88BDF6-A972-4D50-A385-27ED6BCB5259}"/>
    <hyperlink ref="A22" r:id="rId4" xr:uid="{52338874-31D7-46BC-99BB-4617E6AF12B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P62"/>
  <sheetViews>
    <sheetView zoomScale="90" zoomScaleNormal="90" workbookViewId="0">
      <selection activeCell="K48" sqref="K48"/>
    </sheetView>
  </sheetViews>
  <sheetFormatPr baseColWidth="10" defaultColWidth="11.42578125" defaultRowHeight="14.25" x14ac:dyDescent="0.2"/>
  <cols>
    <col min="1" max="1" width="16.42578125" style="4" customWidth="1"/>
    <col min="2" max="2" width="21" style="4" bestFit="1" customWidth="1"/>
    <col min="3" max="3" width="14.28515625" style="4" bestFit="1" customWidth="1"/>
    <col min="4" max="10" width="12.7109375" style="4" customWidth="1"/>
    <col min="11" max="11" width="14.140625" style="4" bestFit="1" customWidth="1"/>
    <col min="12" max="16384" width="11.42578125" style="4"/>
  </cols>
  <sheetData>
    <row r="1" spans="1:16" x14ac:dyDescent="0.2">
      <c r="A1" s="618" t="s">
        <v>37</v>
      </c>
      <c r="B1" s="619"/>
      <c r="C1" s="214" t="s">
        <v>208</v>
      </c>
      <c r="D1" s="621"/>
      <c r="E1" s="622"/>
      <c r="F1" s="620" t="s">
        <v>1</v>
      </c>
      <c r="G1" s="621"/>
      <c r="H1" s="621"/>
      <c r="I1" s="621"/>
      <c r="J1" s="622"/>
      <c r="L1"/>
    </row>
    <row r="2" spans="1:16" x14ac:dyDescent="0.2">
      <c r="A2" s="1"/>
      <c r="B2" s="2" t="s">
        <v>2</v>
      </c>
      <c r="C2" s="118"/>
      <c r="D2" s="3">
        <f>TableauxNote!C4</f>
        <v>2022</v>
      </c>
      <c r="E2" s="3">
        <f>TableauxNote!D4</f>
        <v>2023</v>
      </c>
      <c r="F2" s="3" t="str">
        <f>TableauxNote!E4</f>
        <v>2024(p)</v>
      </c>
      <c r="G2" s="3" t="str">
        <f>TableauxNote!F4</f>
        <v>2025(p)</v>
      </c>
      <c r="H2" s="3" t="str">
        <f>TableauxNote!G4</f>
        <v>2026(p)</v>
      </c>
      <c r="I2" s="3" t="str">
        <f>TableauxNote!H4</f>
        <v>2027(p)</v>
      </c>
      <c r="J2" s="3" t="str">
        <f>TableauxNote!I4</f>
        <v>2028(p)</v>
      </c>
      <c r="K2" s="218" t="s">
        <v>248</v>
      </c>
      <c r="L2"/>
    </row>
    <row r="3" spans="1:16" s="9" customFormat="1" ht="12.75" x14ac:dyDescent="0.2">
      <c r="A3" s="7"/>
      <c r="B3" s="8" t="s">
        <v>12</v>
      </c>
      <c r="D3" s="41">
        <f>TableauxNote!C42</f>
        <v>5028.3106068300012</v>
      </c>
      <c r="E3" s="435">
        <f>TableauxNote!D42</f>
        <v>5134.0496223500004</v>
      </c>
      <c r="F3" s="435">
        <f>TableauxNote!E42</f>
        <v>5282.382805615749</v>
      </c>
      <c r="G3" s="435">
        <f>TableauxNote!F42</f>
        <v>5485.0617576118721</v>
      </c>
      <c r="H3" s="435">
        <f>TableauxNote!G42</f>
        <v>5723.7296104512388</v>
      </c>
      <c r="I3" s="435">
        <f>TableauxNote!H42</f>
        <v>5955.5971423190103</v>
      </c>
      <c r="J3" s="435">
        <f>TableauxNote!I42</f>
        <v>6196.0238931601398</v>
      </c>
      <c r="K3" s="185">
        <f t="shared" ref="K3:K8" si="0">E3/$E$8</f>
        <v>0.36783941361370254</v>
      </c>
      <c r="L3"/>
    </row>
    <row r="4" spans="1:16" s="9" customFormat="1" ht="12.75" x14ac:dyDescent="0.2">
      <c r="A4" s="12"/>
      <c r="B4" s="13" t="s">
        <v>35</v>
      </c>
      <c r="C4" s="119"/>
      <c r="D4" s="41">
        <f>TableauxNote!C43</f>
        <v>593.00804479999999</v>
      </c>
      <c r="E4" s="435">
        <f>TableauxNote!D43</f>
        <v>617.05188923999992</v>
      </c>
      <c r="F4" s="435">
        <f>TableauxNote!E43</f>
        <v>632.70331849916408</v>
      </c>
      <c r="G4" s="435">
        <f>TableauxNote!F43</f>
        <v>646.9779869753595</v>
      </c>
      <c r="H4" s="435">
        <f>TableauxNote!G43</f>
        <v>662.20608273284859</v>
      </c>
      <c r="I4" s="435">
        <f>TableauxNote!H43</f>
        <v>677.358092306191</v>
      </c>
      <c r="J4" s="435">
        <f>TableauxNote!I43</f>
        <v>692.41421270427816</v>
      </c>
      <c r="K4" s="185">
        <f t="shared" si="0"/>
        <v>4.42099359770846E-2</v>
      </c>
      <c r="L4"/>
    </row>
    <row r="5" spans="1:16" s="9" customFormat="1" ht="12.75" x14ac:dyDescent="0.2">
      <c r="A5" s="10"/>
      <c r="B5" s="11" t="s">
        <v>14</v>
      </c>
      <c r="C5" s="119"/>
      <c r="D5" s="41">
        <f>TableauxNote!C44</f>
        <v>771.56760064000002</v>
      </c>
      <c r="E5" s="435">
        <f>TableauxNote!D44</f>
        <v>715.24798183999997</v>
      </c>
      <c r="F5" s="435">
        <f>TableauxNote!E44</f>
        <v>666.16838953923593</v>
      </c>
      <c r="G5" s="435">
        <f>TableauxNote!F44</f>
        <v>675.61373864135373</v>
      </c>
      <c r="H5" s="435">
        <f>TableauxNote!G44</f>
        <v>682.19926244849091</v>
      </c>
      <c r="I5" s="435">
        <f>TableauxNote!H44</f>
        <v>681.08437985141779</v>
      </c>
      <c r="J5" s="435">
        <f>TableauxNote!I44</f>
        <v>681.36097729963888</v>
      </c>
      <c r="K5" s="185">
        <f t="shared" si="0"/>
        <v>5.1245394489970481E-2</v>
      </c>
      <c r="L5"/>
    </row>
    <row r="6" spans="1:16" s="9" customFormat="1" ht="12.75" x14ac:dyDescent="0.2">
      <c r="A6" s="10"/>
      <c r="B6" s="11" t="s">
        <v>13</v>
      </c>
      <c r="C6" s="119"/>
      <c r="D6" s="41">
        <f>TableauxNote!C45</f>
        <v>6499.3807921200005</v>
      </c>
      <c r="E6" s="435">
        <f>TableauxNote!D45</f>
        <v>6815.5706679599989</v>
      </c>
      <c r="F6" s="435">
        <f>TableauxNote!E45</f>
        <v>7284.2646268801645</v>
      </c>
      <c r="G6" s="435">
        <f>TableauxNote!F45</f>
        <v>7551.4400078241024</v>
      </c>
      <c r="H6" s="435">
        <f>TableauxNote!G45</f>
        <v>7794.5590624373581</v>
      </c>
      <c r="I6" s="435">
        <f>TableauxNote!H45</f>
        <v>8068.0502787270725</v>
      </c>
      <c r="J6" s="435">
        <f>TableauxNote!I45</f>
        <v>8318.1767148734343</v>
      </c>
      <c r="K6" s="185">
        <f t="shared" si="0"/>
        <v>0.48831540447745331</v>
      </c>
      <c r="L6"/>
    </row>
    <row r="7" spans="1:16" s="9" customFormat="1" ht="12.75" x14ac:dyDescent="0.2">
      <c r="A7" s="210"/>
      <c r="B7" s="209" t="s">
        <v>233</v>
      </c>
      <c r="C7" s="119"/>
      <c r="D7" s="41">
        <f>TableauxNote!C46</f>
        <v>655.85460454999998</v>
      </c>
      <c r="E7" s="435">
        <f>TableauxNote!D46</f>
        <v>675.39227533999997</v>
      </c>
      <c r="F7" s="435">
        <f>TableauxNote!E46</f>
        <v>709.75971783775765</v>
      </c>
      <c r="G7" s="435">
        <f>TableauxNote!F46</f>
        <v>726.00347370333941</v>
      </c>
      <c r="H7" s="435">
        <f>TableauxNote!G46</f>
        <v>742.39234106113383</v>
      </c>
      <c r="I7" s="435">
        <f>TableauxNote!H46</f>
        <v>761.30138839281744</v>
      </c>
      <c r="J7" s="435">
        <f>TableauxNote!I46</f>
        <v>782.69979557276633</v>
      </c>
      <c r="K7" s="185">
        <f t="shared" si="0"/>
        <v>4.8389851441789096E-2</v>
      </c>
      <c r="L7"/>
    </row>
    <row r="8" spans="1:16" ht="15" customHeight="1" x14ac:dyDescent="0.2">
      <c r="A8" s="17" t="s">
        <v>15</v>
      </c>
      <c r="B8" s="18"/>
      <c r="C8" s="18"/>
      <c r="D8" s="42">
        <f>SUM(D3:D7)</f>
        <v>13548.121648940003</v>
      </c>
      <c r="E8" s="42">
        <f t="shared" ref="E8:J8" si="1">SUM(E3:E7)</f>
        <v>13957.312436729999</v>
      </c>
      <c r="F8" s="42">
        <f t="shared" si="1"/>
        <v>14575.278858372072</v>
      </c>
      <c r="G8" s="42">
        <f t="shared" si="1"/>
        <v>15085.096964756029</v>
      </c>
      <c r="H8" s="42">
        <f t="shared" si="1"/>
        <v>15605.08635913107</v>
      </c>
      <c r="I8" s="42">
        <f t="shared" si="1"/>
        <v>16143.391281596509</v>
      </c>
      <c r="J8" s="42">
        <f t="shared" si="1"/>
        <v>16670.675593610256</v>
      </c>
      <c r="K8" s="186">
        <f t="shared" si="0"/>
        <v>1</v>
      </c>
      <c r="L8"/>
    </row>
    <row r="9" spans="1:16" s="25" customFormat="1" ht="12.75" x14ac:dyDescent="0.2">
      <c r="A9" s="22" t="s">
        <v>21</v>
      </c>
      <c r="B9" s="23"/>
      <c r="C9" s="23"/>
      <c r="D9" s="132">
        <f>D8/CHARGES_PRODUITS!C8</f>
        <v>0.87618698063775502</v>
      </c>
      <c r="E9" s="132">
        <f>E8/CHARGES_PRODUITS!D8</f>
        <v>0.88255041366108822</v>
      </c>
      <c r="F9" s="132">
        <f>F8/CHARGES_PRODUITS!E8</f>
        <v>0.88605794147562511</v>
      </c>
      <c r="G9" s="132">
        <f>G8/CHARGES_PRODUITS!F8</f>
        <v>0.88741194540365986</v>
      </c>
      <c r="H9" s="132">
        <f>H8/CHARGES_PRODUITS!G8</f>
        <v>0.88824168835834028</v>
      </c>
      <c r="I9" s="132">
        <f>I8/CHARGES_PRODUITS!H8</f>
        <v>0.88873410640535744</v>
      </c>
      <c r="J9" s="132">
        <f>J8/CHARGES_PRODUITS!I8</f>
        <v>0.88914757628910579</v>
      </c>
      <c r="K9" s="437"/>
      <c r="L9" s="53"/>
    </row>
    <row r="10" spans="1:16" s="9" customFormat="1" ht="12.75" x14ac:dyDescent="0.2">
      <c r="A10" s="7"/>
      <c r="B10" s="8" t="s">
        <v>16</v>
      </c>
      <c r="D10" s="41">
        <f>TableauxNote!C49</f>
        <v>1627.74614486</v>
      </c>
      <c r="E10" s="436">
        <f>TableauxNote!D49</f>
        <v>1718.7206791599999</v>
      </c>
      <c r="F10" s="436">
        <f>TableauxNote!E49</f>
        <v>1762.4575150897617</v>
      </c>
      <c r="G10" s="436">
        <f>TableauxNote!F49</f>
        <v>1797.186584201065</v>
      </c>
      <c r="H10" s="436">
        <f>TableauxNote!G49</f>
        <v>1832.69271676587</v>
      </c>
      <c r="I10" s="436">
        <f>TableauxNote!H49</f>
        <v>1868.0380929807393</v>
      </c>
      <c r="J10" s="436">
        <f>TableauxNote!I49</f>
        <v>1903.1080979303567</v>
      </c>
      <c r="K10" s="187">
        <f t="shared" ref="K10:K15" si="2">E10/$E$15</f>
        <v>0.27264033591233883</v>
      </c>
      <c r="M10" s="20"/>
      <c r="N10" s="20"/>
      <c r="O10" s="20"/>
      <c r="P10" s="20"/>
    </row>
    <row r="11" spans="1:16" s="9" customFormat="1" ht="12.75" x14ac:dyDescent="0.2">
      <c r="A11" s="12"/>
      <c r="B11" s="13" t="s">
        <v>36</v>
      </c>
      <c r="C11" s="119"/>
      <c r="D11" s="41">
        <f>TableauxNote!C50</f>
        <v>517.04956264000009</v>
      </c>
      <c r="E11" s="436">
        <f>TableauxNote!D50</f>
        <v>527.6335978699999</v>
      </c>
      <c r="F11" s="436">
        <f>TableauxNote!E50</f>
        <v>528.24229611419958</v>
      </c>
      <c r="G11" s="436">
        <f>TableauxNote!F50</f>
        <v>539.34093858618553</v>
      </c>
      <c r="H11" s="436">
        <f>TableauxNote!G50</f>
        <v>551.20881344872259</v>
      </c>
      <c r="I11" s="436">
        <f>TableauxNote!H50</f>
        <v>563.48289882920392</v>
      </c>
      <c r="J11" s="436">
        <f>TableauxNote!I50</f>
        <v>576.16436433947172</v>
      </c>
      <c r="K11" s="187">
        <f t="shared" si="2"/>
        <v>8.3698417727899432E-2</v>
      </c>
      <c r="M11" s="20"/>
      <c r="N11" s="20"/>
      <c r="O11" s="20"/>
      <c r="P11" s="20"/>
    </row>
    <row r="12" spans="1:16" s="9" customFormat="1" ht="12.75" x14ac:dyDescent="0.2">
      <c r="A12" s="10"/>
      <c r="B12" s="11" t="s">
        <v>18</v>
      </c>
      <c r="C12" s="119"/>
      <c r="D12" s="41">
        <f>TableauxNote!C51</f>
        <v>667.18409943999995</v>
      </c>
      <c r="E12" s="436">
        <f>TableauxNote!D51</f>
        <v>705.25293506999992</v>
      </c>
      <c r="F12" s="436">
        <f>TableauxNote!E51</f>
        <v>727.62959918479737</v>
      </c>
      <c r="G12" s="436">
        <f>TableauxNote!F51</f>
        <v>741.42484926318707</v>
      </c>
      <c r="H12" s="436">
        <f>TableauxNote!G51</f>
        <v>755.66181239402829</v>
      </c>
      <c r="I12" s="436">
        <f>TableauxNote!H51</f>
        <v>769.66648768077437</v>
      </c>
      <c r="J12" s="436">
        <f>TableauxNote!I51</f>
        <v>783.3746060027371</v>
      </c>
      <c r="K12" s="187">
        <f t="shared" si="2"/>
        <v>0.11187413955746547</v>
      </c>
      <c r="M12" s="20"/>
      <c r="N12" s="20"/>
      <c r="O12" s="20"/>
      <c r="P12" s="20"/>
    </row>
    <row r="13" spans="1:16" s="9" customFormat="1" ht="12.75" x14ac:dyDescent="0.2">
      <c r="A13" s="10"/>
      <c r="B13" s="11" t="s">
        <v>17</v>
      </c>
      <c r="D13" s="41">
        <f>TableauxNote!C52</f>
        <v>3132.4160716800002</v>
      </c>
      <c r="E13" s="436">
        <f>TableauxNote!D52</f>
        <v>3352.37812231</v>
      </c>
      <c r="F13" s="436">
        <f>TableauxNote!E52</f>
        <v>3443.9700552472873</v>
      </c>
      <c r="G13" s="436">
        <f>TableauxNote!F52</f>
        <v>3512.4640887295559</v>
      </c>
      <c r="H13" s="436">
        <f>TableauxNote!G52</f>
        <v>3581.285171898046</v>
      </c>
      <c r="I13" s="436">
        <f>TableauxNote!H52</f>
        <v>3650.5238947125549</v>
      </c>
      <c r="J13" s="436">
        <f>TableauxNote!I52</f>
        <v>3719.9725091312648</v>
      </c>
      <c r="K13" s="187">
        <f t="shared" si="2"/>
        <v>0.53178710680229635</v>
      </c>
      <c r="M13" s="20"/>
      <c r="N13" s="20"/>
      <c r="O13" s="20"/>
      <c r="P13" s="20"/>
    </row>
    <row r="14" spans="1:16" s="9" customFormat="1" ht="12.75" x14ac:dyDescent="0.2">
      <c r="A14" s="210"/>
      <c r="B14" s="209" t="s">
        <v>245</v>
      </c>
      <c r="C14" s="133"/>
      <c r="D14" s="41">
        <f>TableauxNote!C53</f>
        <v>0</v>
      </c>
      <c r="E14" s="436">
        <f>TableauxNote!D53</f>
        <v>0</v>
      </c>
      <c r="F14" s="436">
        <f>TableauxNote!E53</f>
        <v>0</v>
      </c>
      <c r="G14" s="436">
        <f>TableauxNote!F53</f>
        <v>0</v>
      </c>
      <c r="H14" s="436">
        <f>TableauxNote!G53</f>
        <v>0</v>
      </c>
      <c r="I14" s="436">
        <f>TableauxNote!H53</f>
        <v>0</v>
      </c>
      <c r="J14" s="436">
        <f>TableauxNote!I53</f>
        <v>0</v>
      </c>
      <c r="K14" s="187">
        <f t="shared" si="2"/>
        <v>0</v>
      </c>
      <c r="M14" s="20"/>
      <c r="N14" s="20"/>
      <c r="O14" s="20"/>
      <c r="P14" s="20"/>
    </row>
    <row r="15" spans="1:16" x14ac:dyDescent="0.2">
      <c r="A15" s="17" t="s">
        <v>19</v>
      </c>
      <c r="B15" s="18"/>
      <c r="C15" s="18"/>
      <c r="D15" s="42">
        <f>SUM(D10:D14)</f>
        <v>5944.3958786200001</v>
      </c>
      <c r="E15" s="42">
        <f t="shared" ref="E15:J15" si="3">SUM(E10:E14)</f>
        <v>6303.9853344099993</v>
      </c>
      <c r="F15" s="42">
        <f t="shared" si="3"/>
        <v>6462.2994656360461</v>
      </c>
      <c r="G15" s="42">
        <f t="shared" si="3"/>
        <v>6590.4164607799939</v>
      </c>
      <c r="H15" s="42">
        <f t="shared" si="3"/>
        <v>6720.848514506667</v>
      </c>
      <c r="I15" s="42">
        <f t="shared" si="3"/>
        <v>6851.7113742032725</v>
      </c>
      <c r="J15" s="42">
        <f t="shared" si="3"/>
        <v>6982.6195774038297</v>
      </c>
      <c r="K15" s="187">
        <f t="shared" si="2"/>
        <v>1</v>
      </c>
      <c r="M15" s="19"/>
      <c r="N15" s="19"/>
      <c r="O15" s="19"/>
      <c r="P15" s="19"/>
    </row>
    <row r="16" spans="1:16" s="25" customFormat="1" ht="12.75" x14ac:dyDescent="0.2">
      <c r="A16" s="22" t="s">
        <v>22</v>
      </c>
      <c r="B16" s="23"/>
      <c r="C16" s="23"/>
      <c r="D16" s="24">
        <f>D15/TableauxNote!C16</f>
        <v>0.38296101441072267</v>
      </c>
      <c r="E16" s="24">
        <f>E15/TableauxNote!D16</f>
        <v>0.39709261658421452</v>
      </c>
      <c r="F16" s="24">
        <f>F15/TableauxNote!E16</f>
        <v>0.39181156430123887</v>
      </c>
      <c r="G16" s="24">
        <f>G15/TableauxNote!F16</f>
        <v>0.38666608650906614</v>
      </c>
      <c r="H16" s="24">
        <f>H15/TableauxNote!G16</f>
        <v>0.38154389341682954</v>
      </c>
      <c r="I16" s="24">
        <f>I15/TableauxNote!H16</f>
        <v>0.37623604929649468</v>
      </c>
      <c r="J16" s="24">
        <f>J15/TableauxNote!I16</f>
        <v>0.37145705839346704</v>
      </c>
    </row>
    <row r="17" spans="1:10" x14ac:dyDescent="0.2">
      <c r="D17" s="434" t="b">
        <f>D8='RESULTAT NET'!B3</f>
        <v>1</v>
      </c>
      <c r="E17" s="434" t="b">
        <f>E8='RESULTAT NET'!C3</f>
        <v>1</v>
      </c>
      <c r="F17" s="434" t="b">
        <f>F8='RESULTAT NET'!D3</f>
        <v>1</v>
      </c>
      <c r="G17" s="434" t="b">
        <f>G8='RESULTAT NET'!E3</f>
        <v>1</v>
      </c>
      <c r="H17" s="434" t="b">
        <f>H8='RESULTAT NET'!F3</f>
        <v>1</v>
      </c>
      <c r="I17" s="434" t="b">
        <f>I8='RESULTAT NET'!G3</f>
        <v>1</v>
      </c>
      <c r="J17" s="434" t="b">
        <f>J8='RESULTAT NET'!H3</f>
        <v>1</v>
      </c>
    </row>
    <row r="18" spans="1:10" x14ac:dyDescent="0.2">
      <c r="D18" s="434" t="b">
        <f>D15='RESULTAT NET'!B5</f>
        <v>1</v>
      </c>
      <c r="E18" s="434" t="b">
        <f>E15='RESULTAT NET'!C5</f>
        <v>1</v>
      </c>
      <c r="F18" s="434" t="b">
        <f>F15='RESULTAT NET'!D5</f>
        <v>1</v>
      </c>
      <c r="G18" s="434" t="b">
        <f>G15='RESULTAT NET'!E5</f>
        <v>1</v>
      </c>
      <c r="H18" s="434" t="b">
        <f>H15='RESULTAT NET'!F5</f>
        <v>1</v>
      </c>
      <c r="I18" s="434" t="b">
        <f>I15='RESULTAT NET'!G5</f>
        <v>1</v>
      </c>
      <c r="J18" s="434" t="b">
        <f>J15='RESULTAT NET'!H5</f>
        <v>1</v>
      </c>
    </row>
    <row r="19" spans="1:10" x14ac:dyDescent="0.2">
      <c r="A19" s="618" t="s">
        <v>32</v>
      </c>
      <c r="B19" s="619"/>
      <c r="C19" s="114"/>
      <c r="D19" s="16"/>
      <c r="E19" s="623" t="s">
        <v>1</v>
      </c>
      <c r="F19" s="623"/>
      <c r="G19" s="623"/>
      <c r="H19" s="623"/>
      <c r="I19" s="623"/>
    </row>
    <row r="20" spans="1:10" x14ac:dyDescent="0.2">
      <c r="A20" s="1"/>
      <c r="B20" s="2" t="s">
        <v>0</v>
      </c>
      <c r="C20" s="2"/>
      <c r="D20" s="14" t="str">
        <f>TableauxNote!C23</f>
        <v>2023/2022</v>
      </c>
      <c r="E20" s="14" t="str">
        <f>TableauxNote!D23</f>
        <v>2024/2023</v>
      </c>
      <c r="F20" s="14" t="str">
        <f>TableauxNote!E23</f>
        <v>2025/2024</v>
      </c>
      <c r="G20" s="14" t="str">
        <f>TableauxNote!F23</f>
        <v>2026/2025</v>
      </c>
      <c r="H20" s="14" t="str">
        <f>TableauxNote!G23</f>
        <v>2027/2026</v>
      </c>
      <c r="I20" s="14" t="str">
        <f>TableauxNote!H23</f>
        <v>2028/2027</v>
      </c>
    </row>
    <row r="21" spans="1:10" s="9" customFormat="1" ht="12.75" x14ac:dyDescent="0.2">
      <c r="A21" s="7"/>
      <c r="B21" s="8" t="s">
        <v>12</v>
      </c>
      <c r="C21"/>
      <c r="D21" s="438">
        <f t="shared" ref="D21:I25" si="4">(E3/D3)-1</f>
        <v>2.1028735849446756E-2</v>
      </c>
      <c r="E21" s="438">
        <f t="shared" si="4"/>
        <v>2.8892043158291969E-2</v>
      </c>
      <c r="F21" s="438">
        <f t="shared" si="4"/>
        <v>3.8368849713173558E-2</v>
      </c>
      <c r="G21" s="438">
        <f t="shared" si="4"/>
        <v>4.3512336485210357E-2</v>
      </c>
      <c r="H21" s="438">
        <f t="shared" si="4"/>
        <v>4.0509868153868256E-2</v>
      </c>
      <c r="I21" s="438">
        <f t="shared" si="4"/>
        <v>4.0369881490592396E-2</v>
      </c>
      <c r="J21" s="185">
        <f t="shared" ref="J21:J26" si="5">(((J3/F3))^(1/4))-1</f>
        <v>4.068861461267459E-2</v>
      </c>
    </row>
    <row r="22" spans="1:10" s="9" customFormat="1" ht="12.75" x14ac:dyDescent="0.2">
      <c r="A22" s="10"/>
      <c r="B22" s="13" t="s">
        <v>35</v>
      </c>
      <c r="C22" s="13"/>
      <c r="D22" s="439">
        <f t="shared" si="4"/>
        <v>4.0545561988301504E-2</v>
      </c>
      <c r="E22" s="439">
        <f t="shared" si="4"/>
        <v>2.5364851047521286E-2</v>
      </c>
      <c r="F22" s="439">
        <f t="shared" si="4"/>
        <v>2.2561393403240482E-2</v>
      </c>
      <c r="G22" s="438">
        <f t="shared" si="4"/>
        <v>2.3537270299845758E-2</v>
      </c>
      <c r="H22" s="438">
        <f t="shared" si="4"/>
        <v>2.2881109020943757E-2</v>
      </c>
      <c r="I22" s="438">
        <f t="shared" si="4"/>
        <v>2.222771170685478E-2</v>
      </c>
      <c r="J22" s="185">
        <f t="shared" si="5"/>
        <v>2.2801756905228565E-2</v>
      </c>
    </row>
    <row r="23" spans="1:10" s="9" customFormat="1" ht="12.75" x14ac:dyDescent="0.2">
      <c r="A23" s="10"/>
      <c r="B23" s="11" t="s">
        <v>14</v>
      </c>
      <c r="C23" s="11"/>
      <c r="D23" s="439">
        <f t="shared" si="4"/>
        <v>-7.2993758101408179E-2</v>
      </c>
      <c r="E23" s="439">
        <f t="shared" si="4"/>
        <v>-6.8618987465724923E-2</v>
      </c>
      <c r="F23" s="439">
        <f t="shared" si="4"/>
        <v>1.4178620976973644E-2</v>
      </c>
      <c r="G23" s="438">
        <f t="shared" si="4"/>
        <v>9.7474687539369498E-3</v>
      </c>
      <c r="H23" s="438">
        <f t="shared" si="4"/>
        <v>-1.6342477314790216E-3</v>
      </c>
      <c r="I23" s="438">
        <f t="shared" si="4"/>
        <v>4.0611333397699845E-4</v>
      </c>
      <c r="J23" s="185">
        <f t="shared" si="5"/>
        <v>5.6533601265456035E-3</v>
      </c>
    </row>
    <row r="24" spans="1:10" s="9" customFormat="1" ht="12.75" x14ac:dyDescent="0.2">
      <c r="A24" s="12"/>
      <c r="B24" s="11" t="s">
        <v>13</v>
      </c>
      <c r="C24" s="13"/>
      <c r="D24" s="440">
        <f t="shared" si="4"/>
        <v>4.8649230742620064E-2</v>
      </c>
      <c r="E24" s="440">
        <f t="shared" si="4"/>
        <v>6.8768116677814906E-2</v>
      </c>
      <c r="F24" s="440">
        <f t="shared" si="4"/>
        <v>3.6678428726767409E-2</v>
      </c>
      <c r="G24" s="438">
        <f t="shared" si="4"/>
        <v>3.2195058738645699E-2</v>
      </c>
      <c r="H24" s="438">
        <f t="shared" si="4"/>
        <v>3.5087451913436984E-2</v>
      </c>
      <c r="I24" s="438">
        <f t="shared" si="4"/>
        <v>3.1002091893981731E-2</v>
      </c>
      <c r="J24" s="185">
        <f t="shared" si="5"/>
        <v>3.3738299426570029E-2</v>
      </c>
    </row>
    <row r="25" spans="1:10" s="9" customFormat="1" ht="12.75" x14ac:dyDescent="0.2">
      <c r="A25" s="210"/>
      <c r="B25" s="209" t="s">
        <v>233</v>
      </c>
      <c r="C25" s="119"/>
      <c r="D25" s="440">
        <f t="shared" si="4"/>
        <v>2.9789637298354155E-2</v>
      </c>
      <c r="E25" s="440">
        <f t="shared" si="4"/>
        <v>5.0885157785461432E-2</v>
      </c>
      <c r="F25" s="440">
        <f t="shared" si="4"/>
        <v>2.2886274688943331E-2</v>
      </c>
      <c r="G25" s="438">
        <f t="shared" si="4"/>
        <v>2.257408945193462E-2</v>
      </c>
      <c r="H25" s="438">
        <f t="shared" si="4"/>
        <v>2.5470423502290007E-2</v>
      </c>
      <c r="I25" s="438">
        <f t="shared" si="4"/>
        <v>2.8107668666049745E-2</v>
      </c>
      <c r="J25" s="185">
        <f t="shared" si="5"/>
        <v>2.4757176053104235E-2</v>
      </c>
    </row>
    <row r="26" spans="1:10" s="9" customFormat="1" x14ac:dyDescent="0.2">
      <c r="A26" s="17" t="s">
        <v>15</v>
      </c>
      <c r="B26" s="21"/>
      <c r="C26" s="21"/>
      <c r="D26" s="441">
        <f t="shared" ref="D26:I26" si="6">(E8/D8)-1</f>
        <v>3.0202768944137093E-2</v>
      </c>
      <c r="E26" s="441">
        <f t="shared" si="6"/>
        <v>4.427545950865408E-2</v>
      </c>
      <c r="F26" s="441">
        <f t="shared" si="6"/>
        <v>3.4978274607152082E-2</v>
      </c>
      <c r="G26" s="441">
        <f t="shared" si="6"/>
        <v>3.4470404505182461E-2</v>
      </c>
      <c r="H26" s="441">
        <f t="shared" si="6"/>
        <v>3.4495478594417373E-2</v>
      </c>
      <c r="I26" s="441">
        <f t="shared" si="6"/>
        <v>3.2662549201471158E-2</v>
      </c>
      <c r="J26" s="186">
        <f t="shared" si="5"/>
        <v>3.4151299331799834E-2</v>
      </c>
    </row>
    <row r="27" spans="1:10" s="9" customFormat="1" x14ac:dyDescent="0.2">
      <c r="A27" s="7"/>
      <c r="B27" s="8" t="s">
        <v>16</v>
      </c>
      <c r="C27" s="134"/>
      <c r="D27" s="438">
        <f t="shared" ref="D27:I31" si="7">(E10/D10)-1</f>
        <v>5.5889878521459879E-2</v>
      </c>
      <c r="E27" s="438">
        <f t="shared" si="7"/>
        <v>2.5447320475097568E-2</v>
      </c>
      <c r="F27" s="438">
        <f t="shared" si="7"/>
        <v>1.970491136039354E-2</v>
      </c>
      <c r="G27" s="438">
        <f t="shared" si="7"/>
        <v>1.9756508799329442E-2</v>
      </c>
      <c r="H27" s="438">
        <f t="shared" si="7"/>
        <v>1.928603518283345E-2</v>
      </c>
      <c r="I27" s="438">
        <f t="shared" si="7"/>
        <v>1.8773709744675404E-2</v>
      </c>
      <c r="J27" s="185">
        <f t="shared" ref="J27:J32" si="8">(((J10/F10))^(1/4))-1</f>
        <v>1.9380214775263305E-2</v>
      </c>
    </row>
    <row r="28" spans="1:10" s="9" customFormat="1" ht="12.75" x14ac:dyDescent="0.2">
      <c r="A28" s="10"/>
      <c r="B28" s="13" t="s">
        <v>36</v>
      </c>
      <c r="C28" s="13"/>
      <c r="D28" s="439">
        <f t="shared" si="7"/>
        <v>2.0470059342007518E-2</v>
      </c>
      <c r="E28" s="439">
        <f t="shared" si="7"/>
        <v>1.1536381433194798E-3</v>
      </c>
      <c r="F28" s="439">
        <f t="shared" si="7"/>
        <v>2.1010514594587804E-2</v>
      </c>
      <c r="G28" s="439">
        <f t="shared" si="7"/>
        <v>2.2004402064577544E-2</v>
      </c>
      <c r="H28" s="439">
        <f t="shared" si="7"/>
        <v>2.2267578240787955E-2</v>
      </c>
      <c r="I28" s="439">
        <f t="shared" si="7"/>
        <v>2.2505502006568756E-2</v>
      </c>
      <c r="J28" s="185">
        <f t="shared" si="8"/>
        <v>2.1946840779611732E-2</v>
      </c>
    </row>
    <row r="29" spans="1:10" s="9" customFormat="1" ht="12.75" x14ac:dyDescent="0.2">
      <c r="A29" s="10"/>
      <c r="B29" s="11" t="s">
        <v>18</v>
      </c>
      <c r="C29" s="11"/>
      <c r="D29" s="439">
        <f t="shared" si="7"/>
        <v>5.7058967175556141E-2</v>
      </c>
      <c r="E29" s="439">
        <f t="shared" si="7"/>
        <v>3.1728565741561132E-2</v>
      </c>
      <c r="F29" s="439">
        <f t="shared" si="7"/>
        <v>1.8959165616469154E-2</v>
      </c>
      <c r="G29" s="439">
        <f t="shared" si="7"/>
        <v>1.9202166133209131E-2</v>
      </c>
      <c r="H29" s="439">
        <f t="shared" si="7"/>
        <v>1.8532993274303022E-2</v>
      </c>
      <c r="I29" s="439">
        <f t="shared" si="7"/>
        <v>1.7810465365679651E-2</v>
      </c>
      <c r="J29" s="185">
        <f t="shared" si="8"/>
        <v>1.8626060535318123E-2</v>
      </c>
    </row>
    <row r="30" spans="1:10" s="9" customFormat="1" ht="12.75" x14ac:dyDescent="0.2">
      <c r="A30" s="10"/>
      <c r="B30" s="11" t="s">
        <v>17</v>
      </c>
      <c r="C30" s="11"/>
      <c r="D30" s="439">
        <f t="shared" si="7"/>
        <v>7.0221211230099501E-2</v>
      </c>
      <c r="E30" s="439">
        <f t="shared" si="7"/>
        <v>2.7321480332944903E-2</v>
      </c>
      <c r="F30" s="439">
        <f t="shared" si="7"/>
        <v>1.9888103666264367E-2</v>
      </c>
      <c r="G30" s="439">
        <f t="shared" si="7"/>
        <v>1.9593391257526571E-2</v>
      </c>
      <c r="H30" s="439">
        <f t="shared" si="7"/>
        <v>1.9333484905870613E-2</v>
      </c>
      <c r="I30" s="439">
        <f t="shared" si="7"/>
        <v>1.9024287039813625E-2</v>
      </c>
      <c r="J30" s="185">
        <f t="shared" si="8"/>
        <v>1.9459766823282321E-2</v>
      </c>
    </row>
    <row r="31" spans="1:10" s="9" customFormat="1" ht="12.75" x14ac:dyDescent="0.2">
      <c r="A31" s="210"/>
      <c r="B31" s="209" t="s">
        <v>245</v>
      </c>
      <c r="C31" s="119"/>
      <c r="D31" s="166" t="e">
        <f t="shared" si="7"/>
        <v>#DIV/0!</v>
      </c>
      <c r="E31" s="166" t="e">
        <f t="shared" si="7"/>
        <v>#DIV/0!</v>
      </c>
      <c r="F31" s="166" t="e">
        <f t="shared" si="7"/>
        <v>#DIV/0!</v>
      </c>
      <c r="G31" s="166" t="e">
        <f t="shared" si="7"/>
        <v>#DIV/0!</v>
      </c>
      <c r="H31" s="166" t="e">
        <f t="shared" si="7"/>
        <v>#DIV/0!</v>
      </c>
      <c r="I31" s="166" t="e">
        <f t="shared" si="7"/>
        <v>#DIV/0!</v>
      </c>
      <c r="J31" s="185" t="e">
        <f t="shared" si="8"/>
        <v>#DIV/0!</v>
      </c>
    </row>
    <row r="32" spans="1:10" s="9" customFormat="1" x14ac:dyDescent="0.2">
      <c r="A32" s="17" t="s">
        <v>19</v>
      </c>
      <c r="B32" s="21"/>
      <c r="C32" s="21"/>
      <c r="D32" s="206">
        <f t="shared" ref="D32:I32" si="9">(E15/D15)-1</f>
        <v>6.0492178369768723E-2</v>
      </c>
      <c r="E32" s="206">
        <f t="shared" si="9"/>
        <v>2.5113340661168326E-2</v>
      </c>
      <c r="F32" s="206">
        <f t="shared" si="9"/>
        <v>1.9825295287725808E-2</v>
      </c>
      <c r="G32" s="206">
        <f t="shared" si="9"/>
        <v>1.9791170179135564E-2</v>
      </c>
      <c r="H32" s="206">
        <f t="shared" si="9"/>
        <v>1.9471181267386672E-2</v>
      </c>
      <c r="I32" s="206">
        <f t="shared" si="9"/>
        <v>1.910591326036104E-2</v>
      </c>
      <c r="J32" s="186">
        <f t="shared" si="8"/>
        <v>1.9548348632379975E-2</v>
      </c>
    </row>
    <row r="34" spans="1:11" x14ac:dyDescent="0.2">
      <c r="C34" s="202"/>
      <c r="D34" s="202"/>
      <c r="E34" s="202"/>
      <c r="F34" s="202"/>
      <c r="G34" s="202"/>
      <c r="H34" s="202"/>
      <c r="I34" s="202"/>
      <c r="J34" s="202"/>
    </row>
    <row r="35" spans="1:11" x14ac:dyDescent="0.2">
      <c r="A35" s="5" t="s">
        <v>15</v>
      </c>
      <c r="B35" s="6"/>
      <c r="C35" s="200"/>
      <c r="D35" s="201">
        <f t="shared" ref="D35:J35" si="10">-D8</f>
        <v>-13548.121648940003</v>
      </c>
      <c r="E35" s="201">
        <f t="shared" si="10"/>
        <v>-13957.312436729999</v>
      </c>
      <c r="F35" s="201">
        <f t="shared" si="10"/>
        <v>-14575.278858372072</v>
      </c>
      <c r="G35" s="201">
        <f t="shared" si="10"/>
        <v>-15085.096964756029</v>
      </c>
      <c r="H35" s="201">
        <f t="shared" si="10"/>
        <v>-15605.08635913107</v>
      </c>
      <c r="I35" s="201">
        <f t="shared" si="10"/>
        <v>-16143.391281596509</v>
      </c>
      <c r="J35" s="201">
        <f t="shared" si="10"/>
        <v>-16670.675593610256</v>
      </c>
    </row>
    <row r="36" spans="1:11" x14ac:dyDescent="0.2">
      <c r="A36" s="5" t="s">
        <v>19</v>
      </c>
      <c r="B36" s="6"/>
      <c r="C36" s="200"/>
      <c r="D36" s="201">
        <f t="shared" ref="D36:J36" si="11">D15</f>
        <v>5944.3958786200001</v>
      </c>
      <c r="E36" s="201">
        <f t="shared" si="11"/>
        <v>6303.9853344099993</v>
      </c>
      <c r="F36" s="201">
        <f t="shared" si="11"/>
        <v>6462.2994656360461</v>
      </c>
      <c r="G36" s="201">
        <f t="shared" si="11"/>
        <v>6590.4164607799939</v>
      </c>
      <c r="H36" s="201">
        <f t="shared" si="11"/>
        <v>6720.848514506667</v>
      </c>
      <c r="I36" s="201">
        <f t="shared" si="11"/>
        <v>6851.7113742032725</v>
      </c>
      <c r="J36" s="201">
        <f t="shared" si="11"/>
        <v>6982.6195774038297</v>
      </c>
    </row>
    <row r="37" spans="1:11" x14ac:dyDescent="0.2">
      <c r="A37" s="203"/>
      <c r="B37" s="203"/>
      <c r="C37" s="203"/>
      <c r="D37" s="204"/>
      <c r="E37" s="204"/>
      <c r="F37" s="204"/>
      <c r="G37" s="204"/>
      <c r="H37" s="204"/>
      <c r="I37" s="204"/>
      <c r="J37" s="204"/>
    </row>
    <row r="38" spans="1:11" x14ac:dyDescent="0.2">
      <c r="A38" s="205" t="s">
        <v>15</v>
      </c>
      <c r="B38" s="202"/>
      <c r="C38" s="202"/>
      <c r="D38" s="201">
        <f>-D35</f>
        <v>13548.121648940003</v>
      </c>
      <c r="E38" s="201">
        <f t="shared" ref="E38:J38" si="12">-E35</f>
        <v>13957.312436729999</v>
      </c>
      <c r="F38" s="201">
        <f t="shared" si="12"/>
        <v>14575.278858372072</v>
      </c>
      <c r="G38" s="201">
        <f t="shared" si="12"/>
        <v>15085.096964756029</v>
      </c>
      <c r="H38" s="201">
        <f t="shared" si="12"/>
        <v>15605.08635913107</v>
      </c>
      <c r="I38" s="201">
        <f t="shared" si="12"/>
        <v>16143.391281596509</v>
      </c>
      <c r="J38" s="201">
        <f t="shared" si="12"/>
        <v>16670.675593610256</v>
      </c>
    </row>
    <row r="39" spans="1:11" x14ac:dyDescent="0.2">
      <c r="A39" s="6" t="s">
        <v>29</v>
      </c>
      <c r="B39" s="203"/>
      <c r="C39" s="203"/>
      <c r="D39" s="204">
        <f>D40-D38</f>
        <v>1914.4701817199984</v>
      </c>
      <c r="E39" s="204">
        <f t="shared" ref="E39:J39" si="13">E40-E38</f>
        <v>1857.4356169600014</v>
      </c>
      <c r="F39" s="204">
        <f t="shared" si="13"/>
        <v>1874.298732568157</v>
      </c>
      <c r="G39" s="204">
        <f t="shared" si="13"/>
        <v>1913.8819681838741</v>
      </c>
      <c r="H39" s="204">
        <f t="shared" si="13"/>
        <v>1963.4274402748015</v>
      </c>
      <c r="I39" s="204">
        <f t="shared" si="13"/>
        <v>2021.0868961245142</v>
      </c>
      <c r="J39" s="204">
        <f t="shared" si="13"/>
        <v>2078.378037268445</v>
      </c>
    </row>
    <row r="40" spans="1:11" x14ac:dyDescent="0.2">
      <c r="A40" s="202" t="str">
        <f>CHARGES_PRODUITS!A38</f>
        <v xml:space="preserve">Total charges </v>
      </c>
      <c r="B40" s="202"/>
      <c r="C40" s="202"/>
      <c r="D40" s="201">
        <f>CHARGES_PRODUITS!C8</f>
        <v>15462.591830660002</v>
      </c>
      <c r="E40" s="201">
        <f>CHARGES_PRODUITS!D8</f>
        <v>15814.74805369</v>
      </c>
      <c r="F40" s="201">
        <f>CHARGES_PRODUITS!E8</f>
        <v>16449.577590940229</v>
      </c>
      <c r="G40" s="201">
        <f>CHARGES_PRODUITS!F8</f>
        <v>16998.978932939903</v>
      </c>
      <c r="H40" s="201">
        <f>CHARGES_PRODUITS!G8</f>
        <v>17568.513799405871</v>
      </c>
      <c r="I40" s="201">
        <f>CHARGES_PRODUITS!H8</f>
        <v>18164.478177721023</v>
      </c>
      <c r="J40" s="201">
        <f>CHARGES_PRODUITS!I8</f>
        <v>18749.053630878701</v>
      </c>
    </row>
    <row r="42" spans="1:11" x14ac:dyDescent="0.2">
      <c r="A42" s="202" t="str">
        <f>A36</f>
        <v>Total Cotisations</v>
      </c>
      <c r="B42" s="202"/>
      <c r="C42" s="202"/>
      <c r="D42" s="201">
        <f t="shared" ref="D42:J42" si="14">D36</f>
        <v>5944.3958786200001</v>
      </c>
      <c r="E42" s="201">
        <f t="shared" si="14"/>
        <v>6303.9853344099993</v>
      </c>
      <c r="F42" s="201">
        <f t="shared" si="14"/>
        <v>6462.2994656360461</v>
      </c>
      <c r="G42" s="201">
        <f t="shared" si="14"/>
        <v>6590.4164607799939</v>
      </c>
      <c r="H42" s="201">
        <f t="shared" si="14"/>
        <v>6720.848514506667</v>
      </c>
      <c r="I42" s="201">
        <f t="shared" si="14"/>
        <v>6851.7113742032725</v>
      </c>
      <c r="J42" s="201">
        <f t="shared" si="14"/>
        <v>6982.6195774038297</v>
      </c>
    </row>
    <row r="43" spans="1:11" x14ac:dyDescent="0.2">
      <c r="A43" s="203" t="s">
        <v>30</v>
      </c>
      <c r="B43" s="203"/>
      <c r="C43" s="203"/>
      <c r="D43" s="204">
        <f t="shared" ref="D43:J43" si="15">D44-D42</f>
        <v>9577.7999975500024</v>
      </c>
      <c r="E43" s="204">
        <f t="shared" si="15"/>
        <v>9571.3673443600019</v>
      </c>
      <c r="F43" s="204">
        <f t="shared" si="15"/>
        <v>10031.086780277812</v>
      </c>
      <c r="G43" s="204">
        <f t="shared" si="15"/>
        <v>10453.789614493351</v>
      </c>
      <c r="H43" s="204">
        <f t="shared" si="15"/>
        <v>10894.027861366205</v>
      </c>
      <c r="I43" s="204">
        <f t="shared" si="15"/>
        <v>11359.492435253453</v>
      </c>
      <c r="J43" s="204">
        <f t="shared" si="15"/>
        <v>11815.299104242187</v>
      </c>
    </row>
    <row r="44" spans="1:11" x14ac:dyDescent="0.2">
      <c r="A44" s="202" t="str">
        <f>CHARGES_PRODUITS!A36</f>
        <v>Total produits</v>
      </c>
      <c r="B44" s="202"/>
      <c r="C44" s="202"/>
      <c r="D44" s="201">
        <f>CHARGES_PRODUITS!C14</f>
        <v>15522.195876170003</v>
      </c>
      <c r="E44" s="201">
        <f>CHARGES_PRODUITS!D14</f>
        <v>15875.352678770001</v>
      </c>
      <c r="F44" s="201">
        <f>CHARGES_PRODUITS!E14</f>
        <v>16493.386245913858</v>
      </c>
      <c r="G44" s="201">
        <f>CHARGES_PRODUITS!F14</f>
        <v>17044.206075273345</v>
      </c>
      <c r="H44" s="201">
        <f>CHARGES_PRODUITS!G14</f>
        <v>17614.876375872871</v>
      </c>
      <c r="I44" s="201">
        <f>CHARGES_PRODUITS!H14</f>
        <v>18211.203809456725</v>
      </c>
      <c r="J44" s="201">
        <f>CHARGES_PRODUITS!I14</f>
        <v>18797.918681646017</v>
      </c>
    </row>
    <row r="46" spans="1:11" x14ac:dyDescent="0.2">
      <c r="A46" s="4" t="s">
        <v>128</v>
      </c>
      <c r="K46"/>
    </row>
    <row r="47" spans="1:11" x14ac:dyDescent="0.2">
      <c r="A47" s="31"/>
      <c r="B47" s="32" t="s">
        <v>2</v>
      </c>
      <c r="C47" s="35">
        <f t="shared" ref="C47:H47" si="16">E2</f>
        <v>2023</v>
      </c>
      <c r="D47" s="35" t="str">
        <f t="shared" si="16"/>
        <v>2024(p)</v>
      </c>
      <c r="E47" s="35" t="str">
        <f t="shared" si="16"/>
        <v>2025(p)</v>
      </c>
      <c r="F47" s="35" t="str">
        <f t="shared" si="16"/>
        <v>2026(p)</v>
      </c>
      <c r="G47" s="35" t="str">
        <f t="shared" si="16"/>
        <v>2027(p)</v>
      </c>
      <c r="H47" s="35" t="str">
        <f t="shared" si="16"/>
        <v>2028(p)</v>
      </c>
    </row>
    <row r="48" spans="1:11" x14ac:dyDescent="0.2">
      <c r="A48" s="33"/>
      <c r="B48" s="8" t="s">
        <v>12</v>
      </c>
      <c r="C48" s="45">
        <f t="shared" ref="C48:D51" si="17">(D3/$E$8)*D21*100</f>
        <v>0.75758865468782599</v>
      </c>
      <c r="D48" s="45">
        <f t="shared" si="17"/>
        <v>1.0627632213447904</v>
      </c>
      <c r="E48" s="45">
        <f>(F3/$F$8)*F21*100</f>
        <v>1.3905665474091671</v>
      </c>
      <c r="F48" s="45">
        <f>(G3/$G$8)*G21*100</f>
        <v>1.5821433126812328</v>
      </c>
      <c r="G48" s="45">
        <f>(H3/$H$8)*H21*100</f>
        <v>1.4858458744260508</v>
      </c>
      <c r="H48" s="45">
        <f>(I3/$I$8)*I21*100</f>
        <v>1.489319974020676</v>
      </c>
    </row>
    <row r="49" spans="1:9" x14ac:dyDescent="0.2">
      <c r="A49" s="33"/>
      <c r="B49" s="13" t="s">
        <v>35</v>
      </c>
      <c r="C49" s="45">
        <f t="shared" si="17"/>
        <v>0.17226700734108527</v>
      </c>
      <c r="D49" s="45">
        <f t="shared" si="17"/>
        <v>0.11213784408792032</v>
      </c>
      <c r="E49" s="45">
        <f>(F4/$F$8)*F22*100</f>
        <v>9.793753255016456E-2</v>
      </c>
      <c r="F49" s="45">
        <f>(G4/$G$8)*G22*100</f>
        <v>0.10094794745481048</v>
      </c>
      <c r="G49" s="45">
        <f>(H4/$H$8)*H22*100</f>
        <v>9.70966082765473E-2</v>
      </c>
      <c r="H49" s="45">
        <f>(I4/$I$8)*I22*100</f>
        <v>9.3264916494040159E-2</v>
      </c>
    </row>
    <row r="50" spans="1:9" x14ac:dyDescent="0.2">
      <c r="A50" s="33"/>
      <c r="B50" s="11" t="s">
        <v>14</v>
      </c>
      <c r="C50" s="45">
        <f t="shared" si="17"/>
        <v>-0.4035133486858804</v>
      </c>
      <c r="D50" s="45">
        <f t="shared" si="17"/>
        <v>-0.35164070821834131</v>
      </c>
      <c r="E50" s="45">
        <f>(F5/$F$8)*F23*100</f>
        <v>6.4803899766846196E-2</v>
      </c>
      <c r="F50" s="45">
        <f>(G5/$G$8)*G23*100</f>
        <v>4.3655826823806088E-2</v>
      </c>
      <c r="G50" s="45">
        <f>(H5/$H$8)*H23*100</f>
        <v>-7.1443539075370256E-3</v>
      </c>
      <c r="H50" s="45">
        <f>(I5/$I$8)*I23*100</f>
        <v>1.7133788272631245E-3</v>
      </c>
    </row>
    <row r="51" spans="1:9" x14ac:dyDescent="0.2">
      <c r="A51" s="33"/>
      <c r="B51" s="11" t="s">
        <v>13</v>
      </c>
      <c r="C51" s="45">
        <f t="shared" si="17"/>
        <v>2.2654065907983463</v>
      </c>
      <c r="D51" s="45">
        <f t="shared" si="17"/>
        <v>3.3580530710679888</v>
      </c>
      <c r="E51" s="45">
        <f>(F6/$F$8)*F24*100</f>
        <v>1.8330721733702611</v>
      </c>
      <c r="F51" s="45">
        <f>(G6/$G$8)*G24*100</f>
        <v>1.6116505925103817</v>
      </c>
      <c r="G51" s="45">
        <f>(H6/$H$8)*H24*100</f>
        <v>1.7525773968542393</v>
      </c>
      <c r="H51" s="45">
        <f>(I6/$I$8)*I24*100</f>
        <v>1.5494045320669776</v>
      </c>
    </row>
    <row r="52" spans="1:9" x14ac:dyDescent="0.2">
      <c r="A52" s="33"/>
      <c r="B52" s="209" t="s">
        <v>233</v>
      </c>
      <c r="C52" s="45">
        <f>(E7/$E$8)*D26*100</f>
        <v>0.14615075023374752</v>
      </c>
      <c r="D52" s="45">
        <f>(F7/$F$8)*E26*100</f>
        <v>0.21560436649861303</v>
      </c>
      <c r="E52" s="45">
        <f>(G7/$G$8)*F26*100</f>
        <v>0.16834064062214282</v>
      </c>
      <c r="F52" s="45">
        <f>(H7/$H$8)*G26*100</f>
        <v>0.16398861056576433</v>
      </c>
      <c r="G52" s="45">
        <f>(I7/$I$8)*H26*100</f>
        <v>0.16267620160543814</v>
      </c>
      <c r="H52" s="45">
        <f>(J7/$J$8)*I26*100</f>
        <v>0.1533529366540835</v>
      </c>
    </row>
    <row r="53" spans="1:9" ht="15" x14ac:dyDescent="0.2">
      <c r="A53" s="73" t="s">
        <v>20</v>
      </c>
      <c r="B53" s="73"/>
      <c r="C53" s="43">
        <f t="shared" ref="C53:H53" si="18">(D8/$E$8)*D26*100</f>
        <v>2.9317305150608504</v>
      </c>
      <c r="D53" s="43">
        <f t="shared" si="18"/>
        <v>4.427545950865408</v>
      </c>
      <c r="E53" s="43">
        <f t="shared" si="18"/>
        <v>3.6526953788203627</v>
      </c>
      <c r="F53" s="43">
        <f t="shared" si="18"/>
        <v>3.7255696376520078</v>
      </c>
      <c r="G53" s="43">
        <f t="shared" si="18"/>
        <v>3.8567949589552759</v>
      </c>
      <c r="H53" s="43">
        <f t="shared" si="18"/>
        <v>3.7778355568379163</v>
      </c>
    </row>
    <row r="54" spans="1:9" x14ac:dyDescent="0.2">
      <c r="A54" s="33"/>
      <c r="B54" s="8" t="s">
        <v>16</v>
      </c>
      <c r="C54" s="45">
        <f>(E10/$E$15)*D27*100</f>
        <v>1.5237835254190633</v>
      </c>
      <c r="D54" s="45">
        <f>(E10/$E$15)*E27*100</f>
        <v>0.69379660023995382</v>
      </c>
      <c r="E54" s="45">
        <f>(F10/$F$15)*F27*100</f>
        <v>0.53741039541696689</v>
      </c>
      <c r="F54" s="45">
        <f>(G10/$G$15)*G27*100</f>
        <v>0.53875400403152851</v>
      </c>
      <c r="G54" s="45">
        <f>(H10/$H$15)*H27*100</f>
        <v>0.52590645568900551</v>
      </c>
      <c r="H54" s="45">
        <f>(I10/$I$15)*I27*100</f>
        <v>0.51184299854859783</v>
      </c>
    </row>
    <row r="55" spans="1:9" x14ac:dyDescent="0.2">
      <c r="A55" s="33"/>
      <c r="B55" s="13" t="s">
        <v>36</v>
      </c>
      <c r="C55" s="45">
        <f>(D11/$E$15)*D28*100</f>
        <v>0.16789435045521744</v>
      </c>
      <c r="D55" s="45">
        <f>(E11/$E$15)*E28*100</f>
        <v>9.6557687226392127E-3</v>
      </c>
      <c r="E55" s="45">
        <f>(F11/$F$15)*F28*100</f>
        <v>0.17174447781326377</v>
      </c>
      <c r="F55" s="45">
        <f>(G11/$G$15)*G28*100</f>
        <v>0.18007776797056091</v>
      </c>
      <c r="G55" s="45">
        <f>(H11/$H$15)*H28*100</f>
        <v>0.18262702029346783</v>
      </c>
      <c r="H55" s="45">
        <f>(I11/$I$15)*I28*100</f>
        <v>0.1850846426195594</v>
      </c>
    </row>
    <row r="56" spans="1:9" x14ac:dyDescent="0.2">
      <c r="A56" s="33"/>
      <c r="B56" s="11" t="s">
        <v>18</v>
      </c>
      <c r="C56" s="45">
        <f>(D12/$E$15)*D29*100</f>
        <v>0.60388521880282686</v>
      </c>
      <c r="D56" s="45">
        <f>(E12/$E$15)*E29*100</f>
        <v>0.3549605991729628</v>
      </c>
      <c r="E56" s="45">
        <f>(F12/$F$15)*F29*100</f>
        <v>0.21347277624237823</v>
      </c>
      <c r="F56" s="45">
        <f>(G12/$G$15)*G29*100</f>
        <v>0.2160252423434296</v>
      </c>
      <c r="G56" s="45">
        <f>(H12/$H$15)*H29*100</f>
        <v>0.20837659495698585</v>
      </c>
      <c r="H56" s="45">
        <f>(I12/$I$15)*I29*100</f>
        <v>0.20006853139748221</v>
      </c>
    </row>
    <row r="57" spans="1:9" x14ac:dyDescent="0.2">
      <c r="A57" s="33"/>
      <c r="B57" s="11" t="s">
        <v>17</v>
      </c>
      <c r="C57" s="45">
        <f>(D13/$D$15)*D30*100</f>
        <v>3.7003264103107529</v>
      </c>
      <c r="D57" s="45">
        <f>(E13/$E$15)*E30*100</f>
        <v>1.452921097981261</v>
      </c>
      <c r="E57" s="45">
        <f>(F13/$F$15)*F30*100</f>
        <v>1.0599018792999684</v>
      </c>
      <c r="F57" s="45">
        <f>(G13/$G$15)*G30*100</f>
        <v>1.0442600035680378</v>
      </c>
      <c r="G57" s="45">
        <f>(H13/$H$15)*H30*100</f>
        <v>1.0302080557992084</v>
      </c>
      <c r="H57" s="45">
        <f>(I13/$I$15)*I30*100</f>
        <v>1.0135951534704803</v>
      </c>
    </row>
    <row r="58" spans="1:9" x14ac:dyDescent="0.2">
      <c r="A58" s="33"/>
      <c r="B58" s="209" t="s">
        <v>245</v>
      </c>
      <c r="C58" s="45" t="e">
        <f>(E13/$E$14)*D31*100</f>
        <v>#DIV/0!</v>
      </c>
      <c r="D58" s="45" t="e">
        <f>(F14/$F$15)*E31*100</f>
        <v>#DIV/0!</v>
      </c>
      <c r="E58" s="45" t="e">
        <f>(G14/$G$15)*F31*100</f>
        <v>#DIV/0!</v>
      </c>
      <c r="F58" s="45" t="e">
        <f>(H14/$H$15)*G31*100</f>
        <v>#DIV/0!</v>
      </c>
      <c r="G58" s="45" t="e">
        <f>(I13/$I$14)*H31*100</f>
        <v>#DIV/0!</v>
      </c>
      <c r="H58" s="45" t="e">
        <f>(J14/$J$15)*I31*100</f>
        <v>#DIV/0!</v>
      </c>
    </row>
    <row r="59" spans="1:9" ht="15" x14ac:dyDescent="0.2">
      <c r="A59" s="73" t="s">
        <v>10</v>
      </c>
      <c r="B59" s="73"/>
      <c r="C59" s="43">
        <f>(D15/$E$15)*D32*100</f>
        <v>5.7041607287250091</v>
      </c>
      <c r="D59" s="43">
        <f>(E15/$E$15)*E32*100</f>
        <v>2.5113340661168326</v>
      </c>
      <c r="E59" s="43">
        <f>(F15/$F$15)*F32*100</f>
        <v>1.9825295287725808</v>
      </c>
      <c r="F59" s="43">
        <f>(G15/$G$15)*G32*100</f>
        <v>1.9791170179135564</v>
      </c>
      <c r="G59" s="43">
        <f>(H15/$H$15)*H32*100</f>
        <v>1.9471181267386672</v>
      </c>
      <c r="H59" s="43">
        <f>(I15/$I$15)*I32*100</f>
        <v>1.910591326036104</v>
      </c>
    </row>
    <row r="61" spans="1:9" ht="15" x14ac:dyDescent="0.25">
      <c r="A61" s="442" t="s">
        <v>247</v>
      </c>
      <c r="C61"/>
      <c r="I61" s="219" t="s">
        <v>160</v>
      </c>
    </row>
    <row r="62" spans="1:9" x14ac:dyDescent="0.2">
      <c r="A62" s="117" t="s">
        <v>133</v>
      </c>
      <c r="I62" s="117" t="s">
        <v>132</v>
      </c>
    </row>
  </sheetData>
  <mergeCells count="5">
    <mergeCell ref="A1:B1"/>
    <mergeCell ref="A19:B19"/>
    <mergeCell ref="F1:J1"/>
    <mergeCell ref="D1:E1"/>
    <mergeCell ref="E19:I19"/>
  </mergeCells>
  <phoneticPr fontId="4"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K52"/>
  <sheetViews>
    <sheetView zoomScale="90" zoomScaleNormal="90" workbookViewId="0"/>
  </sheetViews>
  <sheetFormatPr baseColWidth="10" defaultColWidth="11.42578125" defaultRowHeight="14.25" x14ac:dyDescent="0.2"/>
  <cols>
    <col min="1" max="1" width="30.42578125" style="4" bestFit="1" customWidth="1"/>
    <col min="2" max="2" width="13.28515625" style="4" bestFit="1" customWidth="1"/>
    <col min="3" max="7" width="10.7109375" style="4" bestFit="1" customWidth="1"/>
    <col min="8" max="16384" width="11.42578125" style="4"/>
  </cols>
  <sheetData>
    <row r="1" spans="1:11" ht="15" thickBot="1" x14ac:dyDescent="0.25">
      <c r="A1" s="427" t="s">
        <v>38</v>
      </c>
      <c r="B1" s="624">
        <f>'Prest._cotisa.'!D2</f>
        <v>2022</v>
      </c>
      <c r="C1" s="624">
        <f>'Prest._cotisa.'!E2</f>
        <v>2023</v>
      </c>
      <c r="D1" s="626" t="s">
        <v>1</v>
      </c>
      <c r="E1" s="627"/>
      <c r="F1" s="627"/>
      <c r="G1" s="627"/>
      <c r="H1" s="628"/>
    </row>
    <row r="2" spans="1:11" ht="15.75" thickBot="1" x14ac:dyDescent="0.3">
      <c r="A2" s="428" t="s">
        <v>26</v>
      </c>
      <c r="B2" s="625"/>
      <c r="C2" s="625"/>
      <c r="D2" s="429" t="str">
        <f>'Prest._cotisa.'!F2</f>
        <v>2024(p)</v>
      </c>
      <c r="E2" s="429" t="str">
        <f>'Prest._cotisa.'!G2</f>
        <v>2025(p)</v>
      </c>
      <c r="F2" s="429" t="str">
        <f>'Prest._cotisa.'!H2</f>
        <v>2026(p)</v>
      </c>
      <c r="G2" s="429" t="str">
        <f>'Prest._cotisa.'!I2</f>
        <v>2027(p)</v>
      </c>
      <c r="H2" s="429" t="str">
        <f>'Prest._cotisa.'!J2</f>
        <v>2028(p)</v>
      </c>
      <c r="J2" s="426" t="s">
        <v>265</v>
      </c>
      <c r="K2" s="426"/>
    </row>
    <row r="3" spans="1:11" ht="15" thickBot="1" x14ac:dyDescent="0.25">
      <c r="A3" s="47" t="s">
        <v>27</v>
      </c>
      <c r="B3" s="49">
        <f>CHARGES_PRODUITS!C8</f>
        <v>15462.591830660002</v>
      </c>
      <c r="C3" s="49">
        <f>CHARGES_PRODUITS!D8</f>
        <v>15814.74805369</v>
      </c>
      <c r="D3" s="49">
        <f>CHARGES_PRODUITS!E8</f>
        <v>16449.577590940229</v>
      </c>
      <c r="E3" s="49">
        <f>CHARGES_PRODUITS!F8</f>
        <v>16998.978932939903</v>
      </c>
      <c r="F3" s="49">
        <f>CHARGES_PRODUITS!G8</f>
        <v>17568.513799405871</v>
      </c>
      <c r="G3" s="49">
        <f>CHARGES_PRODUITS!H8</f>
        <v>18164.478177721023</v>
      </c>
      <c r="H3" s="49">
        <f>CHARGES_PRODUITS!I8</f>
        <v>18749.053630878701</v>
      </c>
      <c r="J3" s="117" t="s">
        <v>277</v>
      </c>
    </row>
    <row r="4" spans="1:11" ht="15" thickBot="1" x14ac:dyDescent="0.25">
      <c r="A4" s="48" t="s">
        <v>28</v>
      </c>
      <c r="B4" s="50">
        <f>CHARGES_PRODUITS!C14</f>
        <v>15522.195876170003</v>
      </c>
      <c r="C4" s="50">
        <f>CHARGES_PRODUITS!D14</f>
        <v>15875.352678770001</v>
      </c>
      <c r="D4" s="50">
        <f>CHARGES_PRODUITS!E14</f>
        <v>16493.386245913858</v>
      </c>
      <c r="E4" s="50">
        <f>CHARGES_PRODUITS!F14</f>
        <v>17044.206075273345</v>
      </c>
      <c r="F4" s="50">
        <f>CHARGES_PRODUITS!G14</f>
        <v>17614.876375872871</v>
      </c>
      <c r="G4" s="50">
        <f>CHARGES_PRODUITS!H14</f>
        <v>18211.203809456725</v>
      </c>
      <c r="H4" s="50">
        <f>CHARGES_PRODUITS!I14</f>
        <v>18797.918681646017</v>
      </c>
      <c r="J4" s="120" t="s">
        <v>134</v>
      </c>
    </row>
    <row r="5" spans="1:11" ht="15" thickBot="1" x14ac:dyDescent="0.25">
      <c r="A5" s="430" t="s">
        <v>39</v>
      </c>
      <c r="B5" s="432">
        <f t="shared" ref="B5:H5" si="0">B4-B3</f>
        <v>59.604045510001015</v>
      </c>
      <c r="C5" s="432">
        <f>C4-C3</f>
        <v>60.604625080000915</v>
      </c>
      <c r="D5" s="432">
        <f>D4-D3</f>
        <v>43.808654973629018</v>
      </c>
      <c r="E5" s="432">
        <f t="shared" si="0"/>
        <v>45.227142333442316</v>
      </c>
      <c r="F5" s="432">
        <f t="shared" si="0"/>
        <v>46.362576466999599</v>
      </c>
      <c r="G5" s="432">
        <f t="shared" si="0"/>
        <v>46.725631735702336</v>
      </c>
      <c r="H5" s="432">
        <f t="shared" si="0"/>
        <v>48.865050767315552</v>
      </c>
    </row>
    <row r="6" spans="1:11" x14ac:dyDescent="0.2">
      <c r="B6" s="423" t="b">
        <f>B5='RESULTAT NET'!B11</f>
        <v>1</v>
      </c>
      <c r="C6" s="423" t="b">
        <f>C5='RESULTAT NET'!C11</f>
        <v>1</v>
      </c>
      <c r="D6" s="423" t="b">
        <f>D5='RESULTAT NET'!D11</f>
        <v>1</v>
      </c>
      <c r="E6" s="423" t="b">
        <f>E5='RESULTAT NET'!E11</f>
        <v>1</v>
      </c>
      <c r="F6" s="423" t="b">
        <f>F5='RESULTAT NET'!F11</f>
        <v>1</v>
      </c>
      <c r="G6" s="423" t="b">
        <f>G5='RESULTAT NET'!G11</f>
        <v>1</v>
      </c>
      <c r="H6" s="423" t="b">
        <f>H5='RESULTAT NET'!H11</f>
        <v>1</v>
      </c>
    </row>
    <row r="7" spans="1:11" ht="15" thickBot="1" x14ac:dyDescent="0.25"/>
    <row r="8" spans="1:11" ht="15" thickBot="1" x14ac:dyDescent="0.25">
      <c r="A8" s="427" t="s">
        <v>38</v>
      </c>
      <c r="B8" s="624" t="str">
        <f>CHARGES_PRODUITS!C19</f>
        <v>2023/2022</v>
      </c>
      <c r="C8" s="626" t="s">
        <v>1</v>
      </c>
      <c r="D8" s="627"/>
      <c r="E8" s="627"/>
      <c r="F8" s="627"/>
      <c r="G8" s="628"/>
    </row>
    <row r="9" spans="1:11" ht="15" thickBot="1" x14ac:dyDescent="0.25">
      <c r="A9" s="428" t="s">
        <v>26</v>
      </c>
      <c r="B9" s="625"/>
      <c r="C9" s="429" t="str">
        <f>CHARGES_PRODUITS!D19</f>
        <v>2024/2023</v>
      </c>
      <c r="D9" s="429" t="str">
        <f>CHARGES_PRODUITS!E19</f>
        <v>2025/2024</v>
      </c>
      <c r="E9" s="429" t="str">
        <f>CHARGES_PRODUITS!F19</f>
        <v>2026/2025</v>
      </c>
      <c r="F9" s="429" t="str">
        <f>CHARGES_PRODUITS!G19</f>
        <v>2027/2026</v>
      </c>
      <c r="G9" s="429" t="str">
        <f>CHARGES_PRODUITS!H19</f>
        <v>2028/2027</v>
      </c>
    </row>
    <row r="10" spans="1:11" ht="15" thickBot="1" x14ac:dyDescent="0.25">
      <c r="A10" s="47" t="s">
        <v>27</v>
      </c>
      <c r="B10" s="51">
        <f t="shared" ref="B10:G10" si="1">C3/B3-1</f>
        <v>2.2774721527067943E-2</v>
      </c>
      <c r="C10" s="51">
        <f t="shared" si="1"/>
        <v>4.0141615604309733E-2</v>
      </c>
      <c r="D10" s="51">
        <f t="shared" si="1"/>
        <v>3.3399115506908883E-2</v>
      </c>
      <c r="E10" s="51">
        <f t="shared" si="1"/>
        <v>3.3504063315376476E-2</v>
      </c>
      <c r="F10" s="51">
        <f t="shared" si="1"/>
        <v>3.3922299012868473E-2</v>
      </c>
      <c r="G10" s="51">
        <f t="shared" si="1"/>
        <v>3.2182342230709926E-2</v>
      </c>
      <c r="H10" s="52"/>
      <c r="I10" s="52"/>
    </row>
    <row r="11" spans="1:11" ht="15" thickBot="1" x14ac:dyDescent="0.25">
      <c r="A11" s="48" t="s">
        <v>28</v>
      </c>
      <c r="B11" s="51">
        <f t="shared" ref="B11:G11" si="2">C4/B4-1</f>
        <v>2.2751729550209543E-2</v>
      </c>
      <c r="C11" s="51">
        <f t="shared" si="2"/>
        <v>3.8930383447187911E-2</v>
      </c>
      <c r="D11" s="51">
        <f t="shared" si="2"/>
        <v>3.3396406362335096E-2</v>
      </c>
      <c r="E11" s="51">
        <f t="shared" si="2"/>
        <v>3.3481776627156457E-2</v>
      </c>
      <c r="F11" s="51">
        <f t="shared" si="2"/>
        <v>3.3853625813726751E-2</v>
      </c>
      <c r="G11" s="51">
        <f t="shared" si="2"/>
        <v>3.221724814724336E-2</v>
      </c>
      <c r="H11" s="52"/>
      <c r="I11" s="52"/>
    </row>
    <row r="12" spans="1:11" ht="15" thickBot="1" x14ac:dyDescent="0.25">
      <c r="A12" s="430" t="s">
        <v>39</v>
      </c>
      <c r="B12" s="431">
        <f t="shared" ref="B12:G12" si="3">C5/B5-1</f>
        <v>1.678710834874475E-2</v>
      </c>
      <c r="C12" s="431">
        <f t="shared" si="3"/>
        <v>-0.27714007114474248</v>
      </c>
      <c r="D12" s="431">
        <f t="shared" si="3"/>
        <v>3.2379157969290917E-2</v>
      </c>
      <c r="E12" s="431">
        <f t="shared" si="3"/>
        <v>2.5105148700003355E-2</v>
      </c>
      <c r="F12" s="431">
        <f t="shared" si="3"/>
        <v>7.8307828504990962E-3</v>
      </c>
      <c r="G12" s="431">
        <f t="shared" si="3"/>
        <v>4.5786840159049547E-2</v>
      </c>
      <c r="H12" s="52"/>
    </row>
    <row r="13" spans="1:11" x14ac:dyDescent="0.2">
      <c r="B13" s="423" t="b">
        <f>B12='RESULTAT NET'!B25</f>
        <v>1</v>
      </c>
      <c r="C13" s="423" t="b">
        <f>C12='RESULTAT NET'!C25</f>
        <v>1</v>
      </c>
      <c r="D13" s="423" t="b">
        <f>D12='RESULTAT NET'!D25</f>
        <v>1</v>
      </c>
      <c r="E13" s="423" t="b">
        <f>E12='RESULTAT NET'!E25</f>
        <v>1</v>
      </c>
      <c r="F13" s="423" t="b">
        <f>F12='RESULTAT NET'!F25</f>
        <v>1</v>
      </c>
      <c r="G13" s="423" t="b">
        <f>G12='RESULTAT NET'!G25</f>
        <v>1</v>
      </c>
    </row>
    <row r="14" spans="1:11" ht="15" x14ac:dyDescent="0.25">
      <c r="A14" s="15" t="s">
        <v>103</v>
      </c>
      <c r="B14" s="134"/>
    </row>
    <row r="15" spans="1:11" x14ac:dyDescent="0.2">
      <c r="A15" s="537" t="s">
        <v>38</v>
      </c>
      <c r="B15" s="629">
        <f>B1</f>
        <v>2022</v>
      </c>
      <c r="C15" s="629">
        <f>C1</f>
        <v>2023</v>
      </c>
      <c r="D15" s="630" t="s">
        <v>1</v>
      </c>
      <c r="E15" s="630"/>
      <c r="F15" s="630"/>
      <c r="G15" s="630"/>
      <c r="H15" s="630"/>
    </row>
    <row r="16" spans="1:11" x14ac:dyDescent="0.2">
      <c r="A16" s="537" t="s">
        <v>26</v>
      </c>
      <c r="B16" s="629"/>
      <c r="C16" s="629"/>
      <c r="D16" s="537" t="str">
        <f>D2</f>
        <v>2024(p)</v>
      </c>
      <c r="E16" s="537" t="str">
        <f>E2</f>
        <v>2025(p)</v>
      </c>
      <c r="F16" s="537" t="str">
        <f>F2</f>
        <v>2026(p)</v>
      </c>
      <c r="G16" s="537" t="str">
        <f>G2</f>
        <v>2027(p)</v>
      </c>
      <c r="H16" s="537" t="str">
        <f>H2</f>
        <v>2028(p)</v>
      </c>
    </row>
    <row r="17" spans="1:11" x14ac:dyDescent="0.2">
      <c r="A17" s="538" t="s">
        <v>98</v>
      </c>
      <c r="B17" s="137">
        <f>CHARGES_PRODUITS!C9-CHARGES_PRODUITS!C3</f>
        <v>0</v>
      </c>
      <c r="C17" s="137">
        <f>CHARGES_PRODUITS!D9-CHARGES_PRODUITS!D3</f>
        <v>0</v>
      </c>
      <c r="D17" s="137">
        <f>CHARGES_PRODUITS!E9-CHARGES_PRODUITS!E3</f>
        <v>0</v>
      </c>
      <c r="E17" s="137">
        <f>CHARGES_PRODUITS!F9-CHARGES_PRODUITS!F3</f>
        <v>0</v>
      </c>
      <c r="F17" s="137">
        <f>CHARGES_PRODUITS!G9-CHARGES_PRODUITS!G3</f>
        <v>0</v>
      </c>
      <c r="G17" s="137">
        <f>CHARGES_PRODUITS!H9-CHARGES_PRODUITS!H3</f>
        <v>0</v>
      </c>
      <c r="H17" s="137">
        <f>CHARGES_PRODUITS!I9-CHARGES_PRODUITS!I3</f>
        <v>0</v>
      </c>
    </row>
    <row r="18" spans="1:11" x14ac:dyDescent="0.2">
      <c r="A18" s="538" t="s">
        <v>102</v>
      </c>
      <c r="B18" s="137">
        <f>CHARGES_PRODUITS!C10-CHARGES_PRODUITS!C4</f>
        <v>59.604045509999992</v>
      </c>
      <c r="C18" s="137">
        <f>CHARGES_PRODUITS!D10-CHARGES_PRODUITS!D4</f>
        <v>60.565167089999932</v>
      </c>
      <c r="D18" s="137">
        <f>CHARGES_PRODUITS!E10-CHARGES_PRODUITS!E4</f>
        <v>43.808654973630951</v>
      </c>
      <c r="E18" s="137">
        <f>CHARGES_PRODUITS!F10-CHARGES_PRODUITS!F4</f>
        <v>45.227142333441179</v>
      </c>
      <c r="F18" s="137">
        <f>CHARGES_PRODUITS!G10-CHARGES_PRODUITS!G4</f>
        <v>46.362576466998121</v>
      </c>
      <c r="G18" s="137">
        <f>CHARGES_PRODUITS!H10-CHARGES_PRODUITS!H4</f>
        <v>46.725631735700517</v>
      </c>
      <c r="H18" s="137">
        <f>CHARGES_PRODUITS!I10-CHARGES_PRODUITS!I4</f>
        <v>48.865050767315324</v>
      </c>
    </row>
    <row r="19" spans="1:11" x14ac:dyDescent="0.2">
      <c r="A19" s="538" t="s">
        <v>99</v>
      </c>
      <c r="B19" s="137">
        <f>CHARGES_PRODUITS!C11-CHARGES_PRODUITS!C5</f>
        <v>0</v>
      </c>
      <c r="C19" s="137">
        <f>CHARGES_PRODUITS!D11-CHARGES_PRODUITS!D5</f>
        <v>0</v>
      </c>
      <c r="D19" s="137">
        <f>CHARGES_PRODUITS!E11-CHARGES_PRODUITS!E5</f>
        <v>0</v>
      </c>
      <c r="E19" s="137">
        <f>CHARGES_PRODUITS!F11-CHARGES_PRODUITS!F5</f>
        <v>0</v>
      </c>
      <c r="F19" s="137">
        <f>CHARGES_PRODUITS!G11-CHARGES_PRODUITS!G5</f>
        <v>0</v>
      </c>
      <c r="G19" s="137">
        <f>CHARGES_PRODUITS!H11-CHARGES_PRODUITS!H5</f>
        <v>0</v>
      </c>
      <c r="H19" s="137">
        <f>CHARGES_PRODUITS!I11-CHARGES_PRODUITS!I5</f>
        <v>0</v>
      </c>
    </row>
    <row r="20" spans="1:11" x14ac:dyDescent="0.2">
      <c r="A20" s="538" t="s">
        <v>100</v>
      </c>
      <c r="B20" s="137">
        <f>CHARGES_PRODUITS!C12-CHARGES_PRODUITS!C6</f>
        <v>0</v>
      </c>
      <c r="C20" s="137">
        <f>CHARGES_PRODUITS!D12-CHARGES_PRODUITS!D6</f>
        <v>3.9457990001210419E-2</v>
      </c>
      <c r="D20" s="137">
        <f>CHARGES_PRODUITS!E12-CHARGES_PRODUITS!E6</f>
        <v>0</v>
      </c>
      <c r="E20" s="137">
        <f>CHARGES_PRODUITS!F12-CHARGES_PRODUITS!F6</f>
        <v>0</v>
      </c>
      <c r="F20" s="137">
        <f>CHARGES_PRODUITS!G12-CHARGES_PRODUITS!G6</f>
        <v>0</v>
      </c>
      <c r="G20" s="137">
        <f>CHARGES_PRODUITS!H12-CHARGES_PRODUITS!H6</f>
        <v>0</v>
      </c>
      <c r="H20" s="137">
        <f>CHARGES_PRODUITS!I12-CHARGES_PRODUITS!I6</f>
        <v>0</v>
      </c>
    </row>
    <row r="21" spans="1:11" x14ac:dyDescent="0.2">
      <c r="A21" s="539" t="s">
        <v>243</v>
      </c>
      <c r="B21" s="137">
        <f>CHARGES_PRODUITS!C13-CHARGES_PRODUITS!C7</f>
        <v>0</v>
      </c>
      <c r="C21" s="137">
        <f>CHARGES_PRODUITS!D13-CHARGES_PRODUITS!D7</f>
        <v>0</v>
      </c>
      <c r="D21" s="137">
        <f>CHARGES_PRODUITS!E13-CHARGES_PRODUITS!E7</f>
        <v>0</v>
      </c>
      <c r="E21" s="137">
        <f>CHARGES_PRODUITS!F13-CHARGES_PRODUITS!F7</f>
        <v>0</v>
      </c>
      <c r="F21" s="137">
        <f>CHARGES_PRODUITS!G13-CHARGES_PRODUITS!G7</f>
        <v>0</v>
      </c>
      <c r="G21" s="137">
        <f>CHARGES_PRODUITS!H13-CHARGES_PRODUITS!H7</f>
        <v>0</v>
      </c>
      <c r="H21" s="137">
        <f>CHARGES_PRODUITS!I13-CHARGES_PRODUITS!I7</f>
        <v>0</v>
      </c>
    </row>
    <row r="22" spans="1:11" ht="15" x14ac:dyDescent="0.25">
      <c r="A22" s="540" t="s">
        <v>39</v>
      </c>
      <c r="B22" s="93">
        <f>SUM(B17:B21)</f>
        <v>59.604045509999992</v>
      </c>
      <c r="C22" s="93">
        <f t="shared" ref="C22:H22" si="4">SUM(C17:C21)</f>
        <v>60.604625080001142</v>
      </c>
      <c r="D22" s="93">
        <f t="shared" si="4"/>
        <v>43.808654973630951</v>
      </c>
      <c r="E22" s="93">
        <f t="shared" si="4"/>
        <v>45.227142333441179</v>
      </c>
      <c r="F22" s="93">
        <f t="shared" si="4"/>
        <v>46.362576466998121</v>
      </c>
      <c r="G22" s="93">
        <f t="shared" si="4"/>
        <v>46.725631735700517</v>
      </c>
      <c r="H22" s="93">
        <f t="shared" si="4"/>
        <v>48.865050767315324</v>
      </c>
      <c r="J22" s="134"/>
      <c r="K22" s="264"/>
    </row>
    <row r="23" spans="1:11" x14ac:dyDescent="0.2">
      <c r="B23" s="424">
        <f t="shared" ref="B23:H23" si="5">B5</f>
        <v>59.604045510001015</v>
      </c>
      <c r="C23" s="424">
        <f t="shared" si="5"/>
        <v>60.604625080000915</v>
      </c>
      <c r="D23" s="424">
        <f t="shared" si="5"/>
        <v>43.808654973629018</v>
      </c>
      <c r="E23" s="424">
        <f t="shared" si="5"/>
        <v>45.227142333442316</v>
      </c>
      <c r="F23" s="424">
        <f t="shared" si="5"/>
        <v>46.362576466999599</v>
      </c>
      <c r="G23" s="424">
        <f t="shared" si="5"/>
        <v>46.725631735702336</v>
      </c>
      <c r="H23" s="424">
        <f t="shared" si="5"/>
        <v>48.865050767315552</v>
      </c>
      <c r="J23" s="117"/>
    </row>
    <row r="24" spans="1:11" ht="15" x14ac:dyDescent="0.25">
      <c r="A24" s="15" t="s">
        <v>101</v>
      </c>
      <c r="C24" s="44"/>
      <c r="J24" s="120"/>
    </row>
    <row r="25" spans="1:11" x14ac:dyDescent="0.2">
      <c r="A25" s="537" t="s">
        <v>38</v>
      </c>
      <c r="B25" s="629" t="str">
        <f>B8</f>
        <v>2023/2022</v>
      </c>
      <c r="C25" s="630" t="s">
        <v>1</v>
      </c>
      <c r="D25" s="630"/>
      <c r="E25" s="630"/>
      <c r="F25" s="630"/>
      <c r="G25" s="630"/>
    </row>
    <row r="26" spans="1:11" x14ac:dyDescent="0.2">
      <c r="A26" s="537"/>
      <c r="B26" s="629"/>
      <c r="C26" s="537" t="str">
        <f>C9</f>
        <v>2024/2023</v>
      </c>
      <c r="D26" s="537" t="str">
        <f>D9</f>
        <v>2025/2024</v>
      </c>
      <c r="E26" s="537" t="str">
        <f>E9</f>
        <v>2026/2025</v>
      </c>
      <c r="F26" s="537" t="str">
        <f>F9</f>
        <v>2027/2026</v>
      </c>
      <c r="G26" s="537" t="str">
        <f>G9</f>
        <v>2028/2027</v>
      </c>
    </row>
    <row r="27" spans="1:11" x14ac:dyDescent="0.2">
      <c r="A27" s="33" t="s">
        <v>98</v>
      </c>
      <c r="B27" s="94" t="e">
        <f t="shared" ref="B27:G31" si="6">C17/B17-1</f>
        <v>#DIV/0!</v>
      </c>
      <c r="C27" s="94" t="e">
        <f t="shared" si="6"/>
        <v>#DIV/0!</v>
      </c>
      <c r="D27" s="94" t="e">
        <f t="shared" si="6"/>
        <v>#DIV/0!</v>
      </c>
      <c r="E27" s="94" t="e">
        <f t="shared" si="6"/>
        <v>#DIV/0!</v>
      </c>
      <c r="F27" s="94" t="e">
        <f t="shared" si="6"/>
        <v>#DIV/0!</v>
      </c>
      <c r="G27" s="94" t="e">
        <f t="shared" si="6"/>
        <v>#DIV/0!</v>
      </c>
    </row>
    <row r="28" spans="1:11" x14ac:dyDescent="0.2">
      <c r="A28" s="33" t="s">
        <v>102</v>
      </c>
      <c r="B28" s="94">
        <f t="shared" si="6"/>
        <v>1.612510647181975E-2</v>
      </c>
      <c r="C28" s="94">
        <f t="shared" si="6"/>
        <v>-0.27666913048334829</v>
      </c>
      <c r="D28" s="94">
        <f t="shared" si="6"/>
        <v>3.2379157969219419E-2</v>
      </c>
      <c r="E28" s="94">
        <f t="shared" si="6"/>
        <v>2.5105148699996471E-2</v>
      </c>
      <c r="F28" s="94">
        <f t="shared" si="6"/>
        <v>7.8307828504919907E-3</v>
      </c>
      <c r="G28" s="94">
        <f t="shared" si="6"/>
        <v>4.5786840159085296E-2</v>
      </c>
    </row>
    <row r="29" spans="1:11" x14ac:dyDescent="0.2">
      <c r="A29" s="33" t="s">
        <v>99</v>
      </c>
      <c r="B29" s="94" t="e">
        <f t="shared" si="6"/>
        <v>#DIV/0!</v>
      </c>
      <c r="C29" s="94" t="e">
        <f t="shared" si="6"/>
        <v>#DIV/0!</v>
      </c>
      <c r="D29" s="94" t="e">
        <f t="shared" si="6"/>
        <v>#DIV/0!</v>
      </c>
      <c r="E29" s="94" t="e">
        <f t="shared" si="6"/>
        <v>#DIV/0!</v>
      </c>
      <c r="F29" s="94" t="e">
        <f t="shared" si="6"/>
        <v>#DIV/0!</v>
      </c>
      <c r="G29" s="94" t="e">
        <f t="shared" si="6"/>
        <v>#DIV/0!</v>
      </c>
    </row>
    <row r="30" spans="1:11" x14ac:dyDescent="0.2">
      <c r="A30" s="33" t="s">
        <v>100</v>
      </c>
      <c r="B30" s="94" t="e">
        <f t="shared" si="6"/>
        <v>#DIV/0!</v>
      </c>
      <c r="C30" s="94">
        <f t="shared" si="6"/>
        <v>-1</v>
      </c>
      <c r="D30" s="94" t="e">
        <f t="shared" si="6"/>
        <v>#DIV/0!</v>
      </c>
      <c r="E30" s="94" t="e">
        <f t="shared" si="6"/>
        <v>#DIV/0!</v>
      </c>
      <c r="F30" s="94" t="e">
        <f t="shared" si="6"/>
        <v>#DIV/0!</v>
      </c>
      <c r="G30" s="94" t="e">
        <f t="shared" si="6"/>
        <v>#DIV/0!</v>
      </c>
    </row>
    <row r="31" spans="1:11" x14ac:dyDescent="0.2">
      <c r="A31" s="213" t="s">
        <v>243</v>
      </c>
      <c r="B31" s="94" t="e">
        <f t="shared" si="6"/>
        <v>#DIV/0!</v>
      </c>
      <c r="C31" s="94" t="e">
        <f t="shared" si="6"/>
        <v>#DIV/0!</v>
      </c>
      <c r="D31" s="94" t="e">
        <f t="shared" si="6"/>
        <v>#DIV/0!</v>
      </c>
      <c r="E31" s="94" t="e">
        <f t="shared" si="6"/>
        <v>#DIV/0!</v>
      </c>
      <c r="F31" s="94" t="e">
        <f t="shared" si="6"/>
        <v>#DIV/0!</v>
      </c>
      <c r="G31" s="94" t="e">
        <f t="shared" si="6"/>
        <v>#DIV/0!</v>
      </c>
    </row>
    <row r="32" spans="1:11" x14ac:dyDescent="0.2">
      <c r="A32" s="540" t="s">
        <v>39</v>
      </c>
      <c r="B32" s="95">
        <f t="shared" ref="B32:G32" si="7">C22/B22-1</f>
        <v>1.6787108348766067E-2</v>
      </c>
      <c r="C32" s="95">
        <f>D22/C22-1</f>
        <v>-0.27714007114471328</v>
      </c>
      <c r="D32" s="95">
        <f t="shared" si="7"/>
        <v>3.2379157969219419E-2</v>
      </c>
      <c r="E32" s="95">
        <f t="shared" si="7"/>
        <v>2.5105148699996471E-2</v>
      </c>
      <c r="F32" s="95">
        <f t="shared" si="7"/>
        <v>7.8307828504919907E-3</v>
      </c>
      <c r="G32" s="95">
        <f t="shared" si="7"/>
        <v>4.5786840159085296E-2</v>
      </c>
    </row>
    <row r="33" spans="1:8" x14ac:dyDescent="0.2">
      <c r="B33" s="425">
        <f t="shared" ref="B33:G33" si="8">B12</f>
        <v>1.678710834874475E-2</v>
      </c>
      <c r="C33" s="425">
        <f t="shared" si="8"/>
        <v>-0.27714007114474248</v>
      </c>
      <c r="D33" s="425">
        <f t="shared" si="8"/>
        <v>3.2379157969290917E-2</v>
      </c>
      <c r="E33" s="425">
        <f t="shared" si="8"/>
        <v>2.5105148700003355E-2</v>
      </c>
      <c r="F33" s="425">
        <f t="shared" si="8"/>
        <v>7.8307828504990962E-3</v>
      </c>
      <c r="G33" s="425">
        <f t="shared" si="8"/>
        <v>4.5786840159049547E-2</v>
      </c>
    </row>
    <row r="34" spans="1:8" ht="15" x14ac:dyDescent="0.25">
      <c r="A34" s="15" t="s">
        <v>94</v>
      </c>
    </row>
    <row r="35" spans="1:8" x14ac:dyDescent="0.2">
      <c r="A35" s="537" t="s">
        <v>38</v>
      </c>
      <c r="B35" s="629">
        <f>C15</f>
        <v>2023</v>
      </c>
      <c r="C35" s="630" t="s">
        <v>1</v>
      </c>
      <c r="D35" s="630"/>
      <c r="E35" s="630"/>
      <c r="F35" s="630"/>
      <c r="G35" s="630"/>
    </row>
    <row r="36" spans="1:8" x14ac:dyDescent="0.2">
      <c r="A36" s="537"/>
      <c r="B36" s="629"/>
      <c r="C36" s="537" t="str">
        <f>D16</f>
        <v>2024(p)</v>
      </c>
      <c r="D36" s="537" t="str">
        <f>E16</f>
        <v>2025(p)</v>
      </c>
      <c r="E36" s="537" t="str">
        <f>F16</f>
        <v>2026(p)</v>
      </c>
      <c r="F36" s="537" t="str">
        <f>G16</f>
        <v>2027(p)</v>
      </c>
      <c r="G36" s="537" t="str">
        <f>H16</f>
        <v>2028(p)</v>
      </c>
    </row>
    <row r="37" spans="1:8" x14ac:dyDescent="0.2">
      <c r="A37" s="33" t="s">
        <v>98</v>
      </c>
      <c r="B37" s="96" t="e">
        <f t="shared" ref="B37:G37" si="9">(B17/B$22)*B27*100</f>
        <v>#DIV/0!</v>
      </c>
      <c r="C37" s="96" t="e">
        <f t="shared" si="9"/>
        <v>#DIV/0!</v>
      </c>
      <c r="D37" s="96" t="e">
        <f t="shared" si="9"/>
        <v>#DIV/0!</v>
      </c>
      <c r="E37" s="96" t="e">
        <f t="shared" si="9"/>
        <v>#DIV/0!</v>
      </c>
      <c r="F37" s="96" t="e">
        <f t="shared" si="9"/>
        <v>#DIV/0!</v>
      </c>
      <c r="G37" s="96" t="e">
        <f t="shared" si="9"/>
        <v>#DIV/0!</v>
      </c>
    </row>
    <row r="38" spans="1:8" x14ac:dyDescent="0.2">
      <c r="A38" s="33" t="s">
        <v>102</v>
      </c>
      <c r="B38" s="96">
        <f t="shared" ref="B38:G38" si="10">(B18/B$22)*B28*100</f>
        <v>1.612510647181975</v>
      </c>
      <c r="C38" s="96">
        <f t="shared" si="10"/>
        <v>-27.64889988882787</v>
      </c>
      <c r="D38" s="96">
        <f t="shared" si="10"/>
        <v>3.2379157969219419</v>
      </c>
      <c r="E38" s="96">
        <f t="shared" si="10"/>
        <v>2.5105148699996471</v>
      </c>
      <c r="F38" s="96">
        <f t="shared" si="10"/>
        <v>0.78307828504919907</v>
      </c>
      <c r="G38" s="96">
        <f t="shared" si="10"/>
        <v>4.5786840159085296</v>
      </c>
    </row>
    <row r="39" spans="1:8" x14ac:dyDescent="0.2">
      <c r="A39" s="33" t="s">
        <v>99</v>
      </c>
      <c r="B39" s="96" t="e">
        <f t="shared" ref="B39:G39" si="11">(B19/B$22)*B29*100</f>
        <v>#DIV/0!</v>
      </c>
      <c r="C39" s="96" t="e">
        <f t="shared" si="11"/>
        <v>#DIV/0!</v>
      </c>
      <c r="D39" s="96" t="e">
        <f t="shared" si="11"/>
        <v>#DIV/0!</v>
      </c>
      <c r="E39" s="96" t="e">
        <f t="shared" si="11"/>
        <v>#DIV/0!</v>
      </c>
      <c r="F39" s="96" t="e">
        <f t="shared" si="11"/>
        <v>#DIV/0!</v>
      </c>
      <c r="G39" s="96" t="e">
        <f t="shared" si="11"/>
        <v>#DIV/0!</v>
      </c>
    </row>
    <row r="40" spans="1:8" x14ac:dyDescent="0.2">
      <c r="A40" s="33" t="s">
        <v>100</v>
      </c>
      <c r="B40" s="96" t="e">
        <f t="shared" ref="B40:G41" si="12">(B20/B$22)*B30*100</f>
        <v>#DIV/0!</v>
      </c>
      <c r="C40" s="96">
        <f t="shared" si="12"/>
        <v>-6.5107225643461858E-2</v>
      </c>
      <c r="D40" s="96" t="e">
        <f t="shared" si="12"/>
        <v>#DIV/0!</v>
      </c>
      <c r="E40" s="96" t="e">
        <f t="shared" si="12"/>
        <v>#DIV/0!</v>
      </c>
      <c r="F40" s="96" t="e">
        <f t="shared" si="12"/>
        <v>#DIV/0!</v>
      </c>
      <c r="G40" s="96" t="e">
        <f t="shared" si="12"/>
        <v>#DIV/0!</v>
      </c>
    </row>
    <row r="41" spans="1:8" x14ac:dyDescent="0.2">
      <c r="A41" s="213" t="s">
        <v>243</v>
      </c>
      <c r="B41" s="96" t="e">
        <f t="shared" si="12"/>
        <v>#DIV/0!</v>
      </c>
      <c r="C41" s="96" t="e">
        <f t="shared" si="12"/>
        <v>#DIV/0!</v>
      </c>
      <c r="D41" s="96" t="e">
        <f t="shared" si="12"/>
        <v>#DIV/0!</v>
      </c>
      <c r="E41" s="96" t="e">
        <f t="shared" si="12"/>
        <v>#DIV/0!</v>
      </c>
      <c r="F41" s="96" t="e">
        <f t="shared" si="12"/>
        <v>#DIV/0!</v>
      </c>
      <c r="G41" s="96" t="e">
        <f t="shared" si="12"/>
        <v>#DIV/0!</v>
      </c>
    </row>
    <row r="42" spans="1:8" x14ac:dyDescent="0.2">
      <c r="A42" s="540" t="s">
        <v>39</v>
      </c>
      <c r="B42" s="97">
        <f t="shared" ref="B42:G42" si="13">(B22/B$22)*B32*100</f>
        <v>1.6787108348766067</v>
      </c>
      <c r="C42" s="97">
        <f t="shared" si="13"/>
        <v>-27.714007114471329</v>
      </c>
      <c r="D42" s="97">
        <f t="shared" si="13"/>
        <v>3.2379157969219419</v>
      </c>
      <c r="E42" s="97">
        <f t="shared" si="13"/>
        <v>2.5105148699996471</v>
      </c>
      <c r="F42" s="97">
        <f t="shared" si="13"/>
        <v>0.78307828504919907</v>
      </c>
      <c r="G42" s="97">
        <f t="shared" si="13"/>
        <v>4.5786840159085296</v>
      </c>
    </row>
    <row r="44" spans="1:8" ht="15" x14ac:dyDescent="0.25">
      <c r="A44" s="426" t="s">
        <v>171</v>
      </c>
      <c r="G44" s="138"/>
    </row>
    <row r="45" spans="1:8" x14ac:dyDescent="0.2">
      <c r="A45" s="632" t="s">
        <v>141</v>
      </c>
      <c r="B45" s="631">
        <f>B15</f>
        <v>2022</v>
      </c>
      <c r="C45" s="631">
        <f>C15</f>
        <v>2023</v>
      </c>
      <c r="D45" s="631" t="str">
        <f>C36</f>
        <v>2024(p)</v>
      </c>
      <c r="E45" s="631" t="str">
        <f>D36</f>
        <v>2025(p)</v>
      </c>
      <c r="F45" s="631" t="str">
        <f>E36</f>
        <v>2026(p)</v>
      </c>
      <c r="G45" s="631" t="str">
        <f>F36</f>
        <v>2027(p)</v>
      </c>
      <c r="H45" s="631" t="str">
        <f>G36</f>
        <v>2028(p)</v>
      </c>
    </row>
    <row r="46" spans="1:8" x14ac:dyDescent="0.2">
      <c r="A46" s="632"/>
      <c r="B46" s="631"/>
      <c r="C46" s="631"/>
      <c r="D46" s="631"/>
      <c r="E46" s="631"/>
      <c r="F46" s="631"/>
      <c r="G46" s="631"/>
      <c r="H46" s="631"/>
    </row>
    <row r="47" spans="1:8" x14ac:dyDescent="0.2">
      <c r="A47" s="632"/>
      <c r="B47" s="631"/>
      <c r="C47" s="631"/>
      <c r="D47" s="631"/>
      <c r="E47" s="631"/>
      <c r="F47" s="631"/>
      <c r="G47" s="631"/>
      <c r="H47" s="631"/>
    </row>
    <row r="48" spans="1:8" x14ac:dyDescent="0.2">
      <c r="A48" s="541" t="s">
        <v>142</v>
      </c>
      <c r="B48" s="542">
        <f>TableauxNote!M14</f>
        <v>2740.6044712799999</v>
      </c>
      <c r="C48" s="542">
        <f>TableauxNote!N14</f>
        <v>2589.8622132199998</v>
      </c>
      <c r="D48" s="542">
        <f>TableauxNote!O14</f>
        <v>2655.013030320888</v>
      </c>
      <c r="E48" s="542">
        <f>TableauxNote!P14</f>
        <v>2794.313620451202</v>
      </c>
      <c r="F48" s="542">
        <f>TableauxNote!Q14</f>
        <v>2979.5898687508088</v>
      </c>
      <c r="G48" s="542">
        <f>TableauxNote!R14</f>
        <v>3152.8911608325348</v>
      </c>
      <c r="H48" s="542">
        <f>TableauxNote!S14</f>
        <v>3332.8878159898177</v>
      </c>
    </row>
    <row r="49" spans="1:9" x14ac:dyDescent="0.2">
      <c r="A49" s="541" t="s">
        <v>143</v>
      </c>
      <c r="B49" s="542">
        <f>TableauxNote!M15</f>
        <v>48.467233780000001</v>
      </c>
      <c r="C49" s="542">
        <f>TableauxNote!N15</f>
        <v>22.085180659999999</v>
      </c>
      <c r="D49" s="542">
        <f>TableauxNote!O15</f>
        <v>-48.894630067382494</v>
      </c>
      <c r="E49" s="542">
        <f>TableauxNote!P15</f>
        <v>-53.366927504683431</v>
      </c>
      <c r="F49" s="542">
        <f>TableauxNote!Q15</f>
        <v>-59.955851383808081</v>
      </c>
      <c r="G49" s="542">
        <f>TableauxNote!R15</f>
        <v>-75.071942686168313</v>
      </c>
      <c r="H49" s="542">
        <f>TableauxNote!S15</f>
        <v>-89.093079793651455</v>
      </c>
    </row>
    <row r="50" spans="1:9" x14ac:dyDescent="0.2">
      <c r="A50" s="541" t="s">
        <v>145</v>
      </c>
      <c r="B50" s="542">
        <f>TableauxNote!M16</f>
        <v>-47.514658859999997</v>
      </c>
      <c r="C50" s="542">
        <f>TableauxNote!N16</f>
        <v>146.19300853999999</v>
      </c>
      <c r="D50" s="543">
        <f>TableauxNote!O16</f>
        <v>339.83348079705422</v>
      </c>
      <c r="E50" s="543">
        <f>TableauxNote!P16</f>
        <v>473.90111069303543</v>
      </c>
      <c r="F50" s="543">
        <f>TableauxNote!Q16</f>
        <v>602.43182245774858</v>
      </c>
      <c r="G50" s="543">
        <f>TableauxNote!R16</f>
        <v>782.54287777660693</v>
      </c>
      <c r="H50" s="543">
        <f>TableauxNote!S16</f>
        <v>986.05021362266746</v>
      </c>
      <c r="I50" s="92"/>
    </row>
    <row r="51" spans="1:9" x14ac:dyDescent="0.2">
      <c r="A51" s="541" t="s">
        <v>243</v>
      </c>
      <c r="B51" s="542">
        <f>TableauxNote!M17</f>
        <v>0</v>
      </c>
      <c r="C51" s="542">
        <f>TableauxNote!N17</f>
        <v>0</v>
      </c>
      <c r="D51" s="543">
        <f>TableauxNote!O17</f>
        <v>0</v>
      </c>
      <c r="E51" s="543">
        <f>TableauxNote!P17</f>
        <v>0</v>
      </c>
      <c r="F51" s="543">
        <f>TableauxNote!Q17</f>
        <v>0</v>
      </c>
      <c r="G51" s="543">
        <f>TableauxNote!R17</f>
        <v>0</v>
      </c>
      <c r="H51" s="543">
        <f>TableauxNote!S17</f>
        <v>0</v>
      </c>
      <c r="I51" s="92"/>
    </row>
    <row r="52" spans="1:9" x14ac:dyDescent="0.2">
      <c r="A52" s="544" t="s">
        <v>144</v>
      </c>
      <c r="B52" s="545">
        <f t="shared" ref="B52:H52" si="14">SUM(B48:B50)</f>
        <v>2741.5570461999996</v>
      </c>
      <c r="C52" s="545">
        <f t="shared" si="14"/>
        <v>2758.1404024199996</v>
      </c>
      <c r="D52" s="545">
        <f t="shared" si="14"/>
        <v>2945.9518810505597</v>
      </c>
      <c r="E52" s="545">
        <f t="shared" si="14"/>
        <v>3214.8478036395536</v>
      </c>
      <c r="F52" s="545">
        <f t="shared" si="14"/>
        <v>3522.0658398247492</v>
      </c>
      <c r="G52" s="545">
        <f t="shared" si="14"/>
        <v>3860.3620959229734</v>
      </c>
      <c r="H52" s="545">
        <f t="shared" si="14"/>
        <v>4229.8449498188338</v>
      </c>
    </row>
  </sheetData>
  <mergeCells count="20">
    <mergeCell ref="F45:F47"/>
    <mergeCell ref="G45:G47"/>
    <mergeCell ref="H45:H47"/>
    <mergeCell ref="A45:A47"/>
    <mergeCell ref="B45:B47"/>
    <mergeCell ref="C45:C47"/>
    <mergeCell ref="D45:D47"/>
    <mergeCell ref="E45:E47"/>
    <mergeCell ref="B25:B26"/>
    <mergeCell ref="C25:G25"/>
    <mergeCell ref="B35:B36"/>
    <mergeCell ref="C35:G35"/>
    <mergeCell ref="C8:G8"/>
    <mergeCell ref="B1:B2"/>
    <mergeCell ref="C1:C2"/>
    <mergeCell ref="D1:H1"/>
    <mergeCell ref="B8:B9"/>
    <mergeCell ref="B15:B16"/>
    <mergeCell ref="C15:C16"/>
    <mergeCell ref="D15:H15"/>
  </mergeCells>
  <phoneticPr fontId="4"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A121"/>
  <sheetViews>
    <sheetView zoomScale="110" zoomScaleNormal="110" zoomScaleSheetLayoutView="90" workbookViewId="0"/>
  </sheetViews>
  <sheetFormatPr baseColWidth="10" defaultColWidth="11.42578125" defaultRowHeight="12" x14ac:dyDescent="0.2"/>
  <cols>
    <col min="1" max="1" width="21.7109375" style="140" customWidth="1"/>
    <col min="2" max="2" width="17.7109375" style="140" customWidth="1"/>
    <col min="3" max="4" width="11.42578125" style="140"/>
    <col min="5" max="5" width="12.42578125" style="140" customWidth="1"/>
    <col min="6" max="6" width="12" style="140" customWidth="1"/>
    <col min="7" max="7" width="11.42578125" style="140"/>
    <col min="8" max="8" width="11.5703125" style="140" bestFit="1" customWidth="1"/>
    <col min="9" max="10" width="11.42578125" style="140"/>
    <col min="11" max="11" width="15.28515625" style="140" customWidth="1"/>
    <col min="12" max="12" width="13.7109375" style="140" bestFit="1" customWidth="1"/>
    <col min="13" max="13" width="15.28515625" style="140" customWidth="1"/>
    <col min="14" max="16384" width="11.42578125" style="140"/>
  </cols>
  <sheetData>
    <row r="1" spans="1:19" ht="12.75" x14ac:dyDescent="0.2">
      <c r="E1"/>
    </row>
    <row r="2" spans="1:19" ht="12.75" x14ac:dyDescent="0.2">
      <c r="A2" s="141" t="s">
        <v>175</v>
      </c>
      <c r="E2"/>
    </row>
    <row r="3" spans="1:19" ht="12.75" x14ac:dyDescent="0.2">
      <c r="A3" s="142"/>
      <c r="E3"/>
    </row>
    <row r="4" spans="1:19" ht="7.5" customHeight="1" thickBot="1" x14ac:dyDescent="0.25">
      <c r="A4" s="229"/>
    </row>
    <row r="5" spans="1:19" ht="12.75" thickBot="1" x14ac:dyDescent="0.25">
      <c r="A5" s="633" t="s">
        <v>176</v>
      </c>
      <c r="B5" s="634"/>
      <c r="C5" s="296" t="s">
        <v>177</v>
      </c>
      <c r="D5" s="296" t="s">
        <v>177</v>
      </c>
      <c r="E5" s="637" t="s">
        <v>1</v>
      </c>
      <c r="F5" s="638"/>
      <c r="G5" s="638"/>
      <c r="H5" s="638"/>
      <c r="I5" s="639"/>
    </row>
    <row r="6" spans="1:19" ht="13.5" thickBot="1" x14ac:dyDescent="0.25">
      <c r="A6" s="635"/>
      <c r="B6" s="636"/>
      <c r="C6" s="297">
        <v>2022</v>
      </c>
      <c r="D6" s="297">
        <v>2023</v>
      </c>
      <c r="E6" s="297">
        <v>2024</v>
      </c>
      <c r="F6" s="297">
        <v>2025</v>
      </c>
      <c r="G6" s="297">
        <v>2026</v>
      </c>
      <c r="H6" s="297">
        <v>2027</v>
      </c>
      <c r="I6" s="298">
        <f>H6+1</f>
        <v>2028</v>
      </c>
      <c r="K6"/>
    </row>
    <row r="7" spans="1:19" x14ac:dyDescent="0.2">
      <c r="A7" s="230" t="s">
        <v>178</v>
      </c>
      <c r="B7" s="144" t="s">
        <v>261</v>
      </c>
      <c r="C7" s="231">
        <v>180995.44200000001</v>
      </c>
      <c r="D7" s="288">
        <v>181319.26699999996</v>
      </c>
      <c r="E7" s="289">
        <v>182419.15327916708</v>
      </c>
      <c r="F7" s="289">
        <v>187052.687414049</v>
      </c>
      <c r="G7" s="289">
        <v>188873.9417447648</v>
      </c>
      <c r="H7" s="289">
        <v>192509.478488497</v>
      </c>
      <c r="I7" s="289">
        <v>197877.10939709152</v>
      </c>
      <c r="K7" s="145"/>
      <c r="L7" s="145"/>
      <c r="M7" s="145"/>
      <c r="N7" s="145"/>
      <c r="O7" s="145"/>
      <c r="P7" s="145"/>
      <c r="Q7" s="145"/>
      <c r="R7" s="145"/>
      <c r="S7" s="145"/>
    </row>
    <row r="8" spans="1:19" x14ac:dyDescent="0.2">
      <c r="A8" s="232"/>
      <c r="B8" s="144" t="s">
        <v>217</v>
      </c>
      <c r="C8" s="233">
        <v>111480.122</v>
      </c>
      <c r="D8" s="288">
        <v>114484.69000000009</v>
      </c>
      <c r="E8" s="289">
        <v>110628.83330348512</v>
      </c>
      <c r="F8" s="289">
        <v>107869.00097813579</v>
      </c>
      <c r="G8" s="289">
        <v>108052.10300756607</v>
      </c>
      <c r="H8" s="289">
        <v>106423.7422409764</v>
      </c>
      <c r="I8" s="289">
        <v>103063.34815884</v>
      </c>
      <c r="K8" s="145"/>
      <c r="L8" s="145"/>
      <c r="M8" s="145"/>
      <c r="N8" s="145"/>
      <c r="O8" s="145"/>
      <c r="P8" s="145"/>
      <c r="Q8" s="145"/>
      <c r="R8" s="145"/>
      <c r="S8" s="145"/>
    </row>
    <row r="9" spans="1:19" ht="12" customHeight="1" x14ac:dyDescent="0.2">
      <c r="A9" s="234"/>
      <c r="B9" s="144" t="s">
        <v>179</v>
      </c>
      <c r="C9" s="233">
        <v>358389.353</v>
      </c>
      <c r="D9" s="288">
        <v>363068.46900000004</v>
      </c>
      <c r="E9" s="289">
        <v>369534.31091261958</v>
      </c>
      <c r="F9" s="289">
        <v>375006.92747203249</v>
      </c>
      <c r="G9" s="289">
        <v>380479.54403144575</v>
      </c>
      <c r="H9" s="289">
        <v>385952.16059085855</v>
      </c>
      <c r="I9" s="289">
        <v>391424.77715027169</v>
      </c>
      <c r="K9" s="145"/>
      <c r="L9" s="145"/>
      <c r="M9" s="145"/>
      <c r="N9" s="145"/>
      <c r="O9" s="145"/>
      <c r="P9" s="145"/>
      <c r="Q9" s="145"/>
      <c r="R9" s="145"/>
      <c r="S9" s="145"/>
    </row>
    <row r="10" spans="1:19" ht="12" customHeight="1" thickBot="1" x14ac:dyDescent="0.25">
      <c r="A10" s="234"/>
      <c r="B10" s="146" t="s">
        <v>180</v>
      </c>
      <c r="C10" s="235">
        <f t="shared" ref="C10:I10" si="0">SUM(C7:C9)</f>
        <v>650864.91700000002</v>
      </c>
      <c r="D10" s="290">
        <f t="shared" si="0"/>
        <v>658872.42600000009</v>
      </c>
      <c r="E10" s="290">
        <f t="shared" si="0"/>
        <v>662582.29749527178</v>
      </c>
      <c r="F10" s="290">
        <f t="shared" si="0"/>
        <v>669928.61586421728</v>
      </c>
      <c r="G10" s="290">
        <f t="shared" si="0"/>
        <v>677405.58878377662</v>
      </c>
      <c r="H10" s="290">
        <f t="shared" si="0"/>
        <v>684885.38132033194</v>
      </c>
      <c r="I10" s="290">
        <f t="shared" si="0"/>
        <v>692365.23470620322</v>
      </c>
      <c r="K10" s="145"/>
      <c r="L10" s="145"/>
      <c r="M10" s="145"/>
      <c r="N10" s="145"/>
      <c r="O10" s="145"/>
      <c r="P10" s="145"/>
      <c r="Q10" s="145"/>
      <c r="R10" s="145"/>
      <c r="S10" s="145"/>
    </row>
    <row r="11" spans="1:19" x14ac:dyDescent="0.2">
      <c r="A11" s="236" t="s">
        <v>181</v>
      </c>
      <c r="B11" s="143" t="s">
        <v>262</v>
      </c>
      <c r="C11" s="231">
        <v>35724.197</v>
      </c>
      <c r="D11" s="291">
        <v>36697.464000000007</v>
      </c>
      <c r="E11" s="291">
        <v>37621.991637430903</v>
      </c>
      <c r="F11" s="291">
        <v>38982.278247584858</v>
      </c>
      <c r="G11" s="291">
        <v>40178.998287856179</v>
      </c>
      <c r="H11" s="291">
        <v>40720.239298329529</v>
      </c>
      <c r="I11" s="291">
        <v>40958.107683019363</v>
      </c>
      <c r="K11" s="145"/>
      <c r="L11" s="145"/>
      <c r="M11" s="145"/>
      <c r="N11" s="145"/>
      <c r="O11" s="145"/>
      <c r="P11" s="145"/>
      <c r="Q11" s="145"/>
      <c r="R11" s="145"/>
      <c r="S11" s="145"/>
    </row>
    <row r="12" spans="1:19" ht="12" customHeight="1" x14ac:dyDescent="0.2">
      <c r="A12" s="237"/>
      <c r="B12" s="144" t="s">
        <v>179</v>
      </c>
      <c r="C12" s="233">
        <v>206989.00899999999</v>
      </c>
      <c r="D12" s="288">
        <v>208921.19199999998</v>
      </c>
      <c r="E12" s="288">
        <v>213915.24723740749</v>
      </c>
      <c r="F12" s="288">
        <v>216404.9472419814</v>
      </c>
      <c r="G12" s="288">
        <v>218894.64724655508</v>
      </c>
      <c r="H12" s="288">
        <v>221384.34725112899</v>
      </c>
      <c r="I12" s="288">
        <v>223874.04725570272</v>
      </c>
      <c r="K12" s="145"/>
      <c r="L12" s="145"/>
      <c r="M12" s="145"/>
      <c r="N12" s="145"/>
      <c r="O12" s="145"/>
      <c r="P12" s="145"/>
      <c r="Q12" s="145"/>
      <c r="R12" s="145"/>
      <c r="S12" s="145"/>
    </row>
    <row r="13" spans="1:19" ht="12.75" customHeight="1" thickBot="1" x14ac:dyDescent="0.25">
      <c r="A13" s="238"/>
      <c r="B13" s="146" t="s">
        <v>180</v>
      </c>
      <c r="C13" s="235">
        <f t="shared" ref="C13:I13" si="1">SUM(C11:C12)</f>
        <v>242713.20600000001</v>
      </c>
      <c r="D13" s="290">
        <f t="shared" si="1"/>
        <v>245618.65599999999</v>
      </c>
      <c r="E13" s="290">
        <f t="shared" si="1"/>
        <v>251537.2388748384</v>
      </c>
      <c r="F13" s="290">
        <f t="shared" si="1"/>
        <v>255387.22548956625</v>
      </c>
      <c r="G13" s="290">
        <f t="shared" si="1"/>
        <v>259073.64553441125</v>
      </c>
      <c r="H13" s="290">
        <f t="shared" si="1"/>
        <v>262104.5865494585</v>
      </c>
      <c r="I13" s="290">
        <f t="shared" si="1"/>
        <v>264832.15493872209</v>
      </c>
      <c r="K13" s="145"/>
      <c r="L13" s="145"/>
      <c r="M13" s="145"/>
      <c r="N13" s="145"/>
      <c r="O13" s="145"/>
      <c r="P13" s="145"/>
      <c r="Q13" s="145"/>
      <c r="R13" s="145"/>
      <c r="S13" s="145"/>
    </row>
    <row r="14" spans="1:19" x14ac:dyDescent="0.2">
      <c r="A14" s="236" t="s">
        <v>183</v>
      </c>
      <c r="B14" s="143" t="str">
        <f>B11</f>
        <v xml:space="preserve">Cdd </v>
      </c>
      <c r="C14" s="231">
        <v>41011.483</v>
      </c>
      <c r="D14" s="291">
        <v>44051.903999999995</v>
      </c>
      <c r="E14" s="288">
        <v>44204.177374492101</v>
      </c>
      <c r="F14" s="288">
        <v>45865.6522359515</v>
      </c>
      <c r="G14" s="288">
        <v>46645.113105609598</v>
      </c>
      <c r="H14" s="288">
        <v>46926.385253806402</v>
      </c>
      <c r="I14" s="288">
        <v>47018.333925532999</v>
      </c>
      <c r="K14" s="145"/>
      <c r="L14" s="145"/>
      <c r="M14" s="145"/>
      <c r="N14" s="145"/>
      <c r="O14" s="145"/>
      <c r="P14" s="145"/>
      <c r="Q14" s="145"/>
      <c r="R14" s="145"/>
      <c r="S14" s="145"/>
    </row>
    <row r="15" spans="1:19" ht="12" customHeight="1" x14ac:dyDescent="0.2">
      <c r="A15" s="237"/>
      <c r="B15" s="144" t="s">
        <v>179</v>
      </c>
      <c r="C15" s="233">
        <v>301625.63799999998</v>
      </c>
      <c r="D15" s="288">
        <v>304178.39799999999</v>
      </c>
      <c r="E15" s="288">
        <v>309900.20586618269</v>
      </c>
      <c r="F15" s="288">
        <v>311893.11559412198</v>
      </c>
      <c r="G15" s="288">
        <v>313858.22128129809</v>
      </c>
      <c r="H15" s="288">
        <v>315823.2798598524</v>
      </c>
      <c r="I15" s="288">
        <v>317788.33835858997</v>
      </c>
      <c r="K15" s="145"/>
      <c r="L15" s="145"/>
      <c r="M15" s="145"/>
      <c r="N15" s="145"/>
      <c r="O15" s="145"/>
      <c r="P15" s="145"/>
      <c r="Q15" s="145"/>
      <c r="R15" s="145"/>
      <c r="S15" s="145"/>
    </row>
    <row r="16" spans="1:19" ht="12.75" customHeight="1" thickBot="1" x14ac:dyDescent="0.25">
      <c r="A16" s="238"/>
      <c r="B16" s="146" t="s">
        <v>180</v>
      </c>
      <c r="C16" s="235">
        <f t="shared" ref="C16:I16" si="2">SUM(C14:C15)</f>
        <v>342637.12099999998</v>
      </c>
      <c r="D16" s="290">
        <f t="shared" si="2"/>
        <v>348230.30199999997</v>
      </c>
      <c r="E16" s="290">
        <f t="shared" si="2"/>
        <v>354104.3832406748</v>
      </c>
      <c r="F16" s="290">
        <f t="shared" si="2"/>
        <v>357758.76783007348</v>
      </c>
      <c r="G16" s="290">
        <f t="shared" si="2"/>
        <v>360503.33438690769</v>
      </c>
      <c r="H16" s="290">
        <f t="shared" si="2"/>
        <v>362749.66511365882</v>
      </c>
      <c r="I16" s="290">
        <f t="shared" si="2"/>
        <v>364806.67228412296</v>
      </c>
      <c r="K16" s="145"/>
      <c r="L16" s="145"/>
      <c r="M16" s="145"/>
      <c r="N16" s="145"/>
      <c r="O16" s="145"/>
      <c r="P16" s="145"/>
      <c r="Q16" s="145"/>
      <c r="R16" s="145"/>
      <c r="S16" s="145"/>
    </row>
    <row r="17" spans="1:27" x14ac:dyDescent="0.2">
      <c r="A17" s="239" t="s">
        <v>184</v>
      </c>
      <c r="B17" s="144" t="str">
        <f>B11</f>
        <v xml:space="preserve">Cdd </v>
      </c>
      <c r="C17" s="233">
        <v>60297.201999999997</v>
      </c>
      <c r="D17" s="291">
        <v>62642.896000000008</v>
      </c>
      <c r="E17" s="288">
        <v>63038.271362966399</v>
      </c>
      <c r="F17" s="288">
        <v>62847.552332305204</v>
      </c>
      <c r="G17" s="288">
        <v>63056.089634996199</v>
      </c>
      <c r="H17" s="288">
        <v>63064.900178516298</v>
      </c>
      <c r="I17" s="288">
        <v>63011.345104945896</v>
      </c>
      <c r="K17" s="145"/>
      <c r="L17" s="145"/>
      <c r="M17" s="145"/>
      <c r="N17" s="145"/>
      <c r="O17" s="145"/>
      <c r="P17" s="145"/>
      <c r="Q17" s="145"/>
      <c r="R17" s="145"/>
      <c r="S17" s="145"/>
    </row>
    <row r="18" spans="1:27" ht="12" customHeight="1" x14ac:dyDescent="0.2">
      <c r="A18" s="237"/>
      <c r="B18" s="147" t="s">
        <v>179</v>
      </c>
      <c r="C18" s="233">
        <v>148786.08499999999</v>
      </c>
      <c r="D18" s="288">
        <v>158557.56200000001</v>
      </c>
      <c r="E18" s="288">
        <v>163134.66715833201</v>
      </c>
      <c r="F18" s="288">
        <v>167142.87651041191</v>
      </c>
      <c r="G18" s="288">
        <v>171151.08586249177</v>
      </c>
      <c r="H18" s="288">
        <v>175159.29521457152</v>
      </c>
      <c r="I18" s="288">
        <v>179167.50456665142</v>
      </c>
      <c r="K18" s="145"/>
      <c r="L18" s="145"/>
      <c r="M18" s="145"/>
      <c r="N18" s="145"/>
      <c r="O18" s="145"/>
      <c r="P18" s="145"/>
      <c r="Q18" s="145"/>
      <c r="R18" s="145"/>
      <c r="S18" s="145"/>
    </row>
    <row r="19" spans="1:27" ht="12.75" customHeight="1" thickBot="1" x14ac:dyDescent="0.25">
      <c r="A19" s="237"/>
      <c r="B19" s="240" t="s">
        <v>180</v>
      </c>
      <c r="C19" s="241">
        <f t="shared" ref="C19:I19" si="3">SUM(C17:C18)</f>
        <v>209083.28699999998</v>
      </c>
      <c r="D19" s="292">
        <f t="shared" si="3"/>
        <v>221200.45800000001</v>
      </c>
      <c r="E19" s="292">
        <f t="shared" si="3"/>
        <v>226172.93852129841</v>
      </c>
      <c r="F19" s="292">
        <f t="shared" si="3"/>
        <v>229990.42884271711</v>
      </c>
      <c r="G19" s="292">
        <f t="shared" si="3"/>
        <v>234207.17549748797</v>
      </c>
      <c r="H19" s="292">
        <f t="shared" si="3"/>
        <v>238224.19539308781</v>
      </c>
      <c r="I19" s="292">
        <f t="shared" si="3"/>
        <v>242178.8496715973</v>
      </c>
      <c r="K19" s="145"/>
      <c r="L19" s="145"/>
      <c r="M19" s="145"/>
      <c r="N19" s="145"/>
      <c r="O19" s="145"/>
      <c r="P19" s="145"/>
      <c r="Q19" s="145"/>
      <c r="R19" s="145"/>
      <c r="S19" s="145"/>
    </row>
    <row r="20" spans="1:27" ht="13.5" thickBot="1" x14ac:dyDescent="0.25">
      <c r="A20" s="640" t="s">
        <v>185</v>
      </c>
      <c r="B20" s="641"/>
      <c r="C20" s="242">
        <f>C19+C16+C13+C10</f>
        <v>1445298.531</v>
      </c>
      <c r="D20" s="293">
        <f t="shared" ref="D20:I20" si="4">D19+D16+D13+D10</f>
        <v>1473921.8420000002</v>
      </c>
      <c r="E20" s="293">
        <f t="shared" si="4"/>
        <v>1494396.8581320834</v>
      </c>
      <c r="F20" s="293">
        <f t="shared" si="4"/>
        <v>1513065.0380265741</v>
      </c>
      <c r="G20" s="293">
        <f t="shared" si="4"/>
        <v>1531189.7442025836</v>
      </c>
      <c r="H20" s="293">
        <f t="shared" si="4"/>
        <v>1547963.8283765372</v>
      </c>
      <c r="I20" s="293">
        <f t="shared" si="4"/>
        <v>1564182.9116006456</v>
      </c>
      <c r="J20" s="129"/>
      <c r="K20" s="145"/>
      <c r="L20" s="145"/>
      <c r="M20" s="145"/>
      <c r="N20" s="145"/>
      <c r="O20" s="145"/>
      <c r="P20" s="145"/>
      <c r="Q20" s="145"/>
      <c r="R20" s="145"/>
      <c r="S20" s="145"/>
    </row>
    <row r="21" spans="1:27" ht="12.75" x14ac:dyDescent="0.2">
      <c r="A21" s="167"/>
      <c r="B21" s="168" t="s">
        <v>214</v>
      </c>
      <c r="C21" s="243">
        <f>C8+C7+C11+C14+C17</f>
        <v>429508.446</v>
      </c>
      <c r="D21" s="294">
        <f t="shared" ref="D21:I21" si="5">D8+D7+D11+D14+D17</f>
        <v>439196.22100000008</v>
      </c>
      <c r="E21" s="294">
        <f t="shared" si="5"/>
        <v>437912.42695754161</v>
      </c>
      <c r="F21" s="294">
        <f t="shared" si="5"/>
        <v>442617.17120802635</v>
      </c>
      <c r="G21" s="294">
        <f t="shared" si="5"/>
        <v>446806.24578079284</v>
      </c>
      <c r="H21" s="294">
        <f t="shared" si="5"/>
        <v>449644.74546012562</v>
      </c>
      <c r="I21" s="294">
        <f t="shared" si="5"/>
        <v>451928.24426942976</v>
      </c>
      <c r="J21"/>
      <c r="K21" s="145"/>
      <c r="L21" s="145"/>
      <c r="M21" s="145"/>
      <c r="N21" s="145"/>
      <c r="O21" s="145"/>
      <c r="P21" s="145"/>
      <c r="Q21" s="145"/>
      <c r="R21" s="145"/>
      <c r="S21" s="145"/>
    </row>
    <row r="22" spans="1:27" ht="13.5" thickBot="1" x14ac:dyDescent="0.25">
      <c r="A22" s="169"/>
      <c r="B22" s="170" t="s">
        <v>215</v>
      </c>
      <c r="C22" s="244">
        <f>C9+C12+C15+C18</f>
        <v>1015790.085</v>
      </c>
      <c r="D22" s="295">
        <f t="shared" ref="D22:I22" si="6">D9+D12+D15+D18</f>
        <v>1034725.6210000002</v>
      </c>
      <c r="E22" s="295">
        <f t="shared" si="6"/>
        <v>1056484.4311745418</v>
      </c>
      <c r="F22" s="295">
        <f t="shared" si="6"/>
        <v>1070447.8668185477</v>
      </c>
      <c r="G22" s="295">
        <f t="shared" si="6"/>
        <v>1084383.4984217908</v>
      </c>
      <c r="H22" s="295">
        <f t="shared" si="6"/>
        <v>1098319.0829164116</v>
      </c>
      <c r="I22" s="295">
        <f t="shared" si="6"/>
        <v>1112254.6673312159</v>
      </c>
      <c r="J22"/>
      <c r="K22" s="145"/>
      <c r="L22" s="145"/>
      <c r="M22" s="145"/>
      <c r="N22" s="145"/>
      <c r="O22" s="145"/>
      <c r="P22" s="145"/>
      <c r="Q22" s="145"/>
      <c r="R22" s="145"/>
      <c r="S22" s="145"/>
    </row>
    <row r="23" spans="1:27" ht="12.75" thickBot="1" x14ac:dyDescent="0.25"/>
    <row r="24" spans="1:27" ht="18" customHeight="1" thickTop="1" thickBot="1" x14ac:dyDescent="0.25">
      <c r="A24" s="159" t="s">
        <v>186</v>
      </c>
      <c r="B24" s="160"/>
      <c r="C24" s="645" t="s">
        <v>177</v>
      </c>
      <c r="D24" s="646"/>
      <c r="E24" s="647" t="s">
        <v>1</v>
      </c>
      <c r="F24" s="648"/>
      <c r="G24" s="648"/>
      <c r="H24" s="648"/>
      <c r="I24" s="648"/>
      <c r="J24" s="649"/>
      <c r="K24" s="650" t="s">
        <v>269</v>
      </c>
      <c r="L24" s="650" t="s">
        <v>188</v>
      </c>
    </row>
    <row r="25" spans="1:27" ht="14.25" customHeight="1" thickTop="1" thickBot="1" x14ac:dyDescent="0.25">
      <c r="A25" s="157" t="s">
        <v>189</v>
      </c>
      <c r="B25" s="158"/>
      <c r="C25" s="299">
        <v>2023</v>
      </c>
      <c r="D25" s="300" t="s">
        <v>191</v>
      </c>
      <c r="E25" s="341">
        <f>E6</f>
        <v>2024</v>
      </c>
      <c r="F25" s="341" t="s">
        <v>192</v>
      </c>
      <c r="G25" s="341" t="s">
        <v>216</v>
      </c>
      <c r="H25" s="341" t="s">
        <v>229</v>
      </c>
      <c r="I25" s="341" t="s">
        <v>260</v>
      </c>
      <c r="J25" s="341" t="s">
        <v>268</v>
      </c>
      <c r="K25" s="651"/>
      <c r="L25" s="651"/>
    </row>
    <row r="26" spans="1:27" x14ac:dyDescent="0.2">
      <c r="A26" s="225" t="s">
        <v>178</v>
      </c>
      <c r="B26" s="148" t="s">
        <v>261</v>
      </c>
      <c r="C26" s="304">
        <f>D7</f>
        <v>181319.26699999996</v>
      </c>
      <c r="D26" s="305">
        <f t="shared" ref="D26:D41" si="7">D7/C7-1</f>
        <v>1.7891334523216784E-3</v>
      </c>
      <c r="E26" s="323">
        <f>E7</f>
        <v>182419.15327916708</v>
      </c>
      <c r="F26" s="324">
        <f t="shared" ref="F26:J27" si="8">(E7/D7)-1</f>
        <v>6.0660198850632785E-3</v>
      </c>
      <c r="G26" s="324">
        <f t="shared" si="8"/>
        <v>2.5400480440729511E-2</v>
      </c>
      <c r="H26" s="324">
        <f t="shared" si="8"/>
        <v>9.7365846804668976E-3</v>
      </c>
      <c r="I26" s="324">
        <f t="shared" si="8"/>
        <v>1.9248482401267974E-2</v>
      </c>
      <c r="J26" s="324">
        <f t="shared" si="8"/>
        <v>2.788242402783947E-2</v>
      </c>
      <c r="K26" s="306">
        <f t="shared" ref="K26:K41" si="9">(I7/D7)^(1/5)-1</f>
        <v>1.7630981687981162E-2</v>
      </c>
      <c r="L26" s="307">
        <f t="shared" ref="L26:L41" si="10">(C26/$C$39)*K26*100</f>
        <v>0.21689322900712982</v>
      </c>
      <c r="N26" s="248"/>
      <c r="O26" s="248"/>
      <c r="P26" s="248"/>
      <c r="Q26" s="248"/>
      <c r="R26" s="248"/>
      <c r="S26" s="248"/>
      <c r="T26" s="248"/>
      <c r="U26" s="248"/>
      <c r="V26" s="248"/>
      <c r="W26" s="248"/>
      <c r="X26" s="248"/>
      <c r="Y26" s="248"/>
      <c r="Z26" s="248"/>
      <c r="AA26" s="248"/>
    </row>
    <row r="27" spans="1:27" x14ac:dyDescent="0.2">
      <c r="A27" s="226"/>
      <c r="B27" s="148" t="s">
        <v>262</v>
      </c>
      <c r="C27" s="304">
        <f>D8</f>
        <v>114484.69000000009</v>
      </c>
      <c r="D27" s="305">
        <f t="shared" si="7"/>
        <v>2.6951603084898634E-2</v>
      </c>
      <c r="E27" s="323">
        <f>E8</f>
        <v>110628.83330348512</v>
      </c>
      <c r="F27" s="324">
        <f t="shared" si="8"/>
        <v>-3.368010776388497E-2</v>
      </c>
      <c r="G27" s="324">
        <f t="shared" si="8"/>
        <v>-2.4946772400449624E-2</v>
      </c>
      <c r="H27" s="324">
        <f t="shared" si="8"/>
        <v>1.6974480876799092E-3</v>
      </c>
      <c r="I27" s="324">
        <f t="shared" si="8"/>
        <v>-1.5070144136626884E-2</v>
      </c>
      <c r="J27" s="324">
        <f t="shared" si="8"/>
        <v>-3.1575605324302702E-2</v>
      </c>
      <c r="K27" s="306">
        <f t="shared" si="9"/>
        <v>-2.0800085444825922E-2</v>
      </c>
      <c r="L27" s="307">
        <f t="shared" si="10"/>
        <v>-0.1615615744518161</v>
      </c>
      <c r="N27" s="248"/>
      <c r="O27" s="248"/>
      <c r="P27" s="248"/>
      <c r="Q27" s="248"/>
      <c r="R27" s="248"/>
      <c r="S27" s="248"/>
      <c r="T27" s="248"/>
      <c r="U27" s="248"/>
      <c r="V27" s="248"/>
      <c r="W27" s="248"/>
      <c r="X27" s="248"/>
      <c r="Y27" s="248"/>
      <c r="Z27" s="248"/>
      <c r="AA27" s="248"/>
    </row>
    <row r="28" spans="1:27" ht="12.75" thickBot="1" x14ac:dyDescent="0.25">
      <c r="A28" s="226"/>
      <c r="B28" s="149" t="s">
        <v>179</v>
      </c>
      <c r="C28" s="304">
        <f>D9</f>
        <v>363068.46900000004</v>
      </c>
      <c r="D28" s="305">
        <f t="shared" si="7"/>
        <v>1.3055957050152722E-2</v>
      </c>
      <c r="E28" s="323">
        <f>E9</f>
        <v>369534.31091261958</v>
      </c>
      <c r="F28" s="324">
        <f t="shared" ref="F28:F41" si="11">E9/D9-1</f>
        <v>1.7808877566340087E-2</v>
      </c>
      <c r="G28" s="324">
        <f t="shared" ref="G28:G41" si="12">F9/E9-1</f>
        <v>1.4809495080165824E-2</v>
      </c>
      <c r="H28" s="324">
        <f t="shared" ref="H28:H41" si="13">G9/F9-1</f>
        <v>1.4593374571250761E-2</v>
      </c>
      <c r="I28" s="324">
        <f t="shared" ref="I28:I41" si="14">H9/G9-1</f>
        <v>1.4383471188560204E-2</v>
      </c>
      <c r="J28" s="325">
        <f t="shared" ref="J28:J41" si="15">I9/H9-1</f>
        <v>1.4179520464492334E-2</v>
      </c>
      <c r="K28" s="306">
        <f t="shared" si="9"/>
        <v>1.5154059882177107E-2</v>
      </c>
      <c r="L28" s="307">
        <f t="shared" si="10"/>
        <v>0.37328718279190565</v>
      </c>
      <c r="N28" s="248"/>
      <c r="O28" s="248"/>
      <c r="P28" s="248"/>
      <c r="Q28" s="248"/>
      <c r="R28" s="248"/>
      <c r="S28" s="248"/>
      <c r="T28" s="248"/>
      <c r="U28" s="248"/>
      <c r="V28" s="248"/>
      <c r="W28" s="248"/>
      <c r="X28" s="248"/>
      <c r="Y28" s="248"/>
      <c r="Z28" s="248"/>
      <c r="AA28" s="248"/>
    </row>
    <row r="29" spans="1:27" ht="12.75" thickBot="1" x14ac:dyDescent="0.25">
      <c r="A29" s="227"/>
      <c r="B29" s="150" t="s">
        <v>180</v>
      </c>
      <c r="C29" s="308">
        <f>C26+C28+C27</f>
        <v>658872.42600000009</v>
      </c>
      <c r="D29" s="309">
        <f t="shared" si="7"/>
        <v>1.230287390033058E-2</v>
      </c>
      <c r="E29" s="326">
        <f>E26+E28+E27</f>
        <v>662582.29749527178</v>
      </c>
      <c r="F29" s="327">
        <f t="shared" si="11"/>
        <v>5.6306370533583117E-3</v>
      </c>
      <c r="G29" s="328">
        <f t="shared" si="12"/>
        <v>1.1087405137016892E-2</v>
      </c>
      <c r="H29" s="328">
        <f t="shared" si="13"/>
        <v>1.1160850189857907E-2</v>
      </c>
      <c r="I29" s="328">
        <f t="shared" si="14"/>
        <v>1.1041822890750952E-2</v>
      </c>
      <c r="J29" s="329">
        <f t="shared" si="15"/>
        <v>1.0921321420894525E-2</v>
      </c>
      <c r="K29" s="310">
        <f t="shared" si="9"/>
        <v>9.9660705140023342E-3</v>
      </c>
      <c r="L29" s="311">
        <f t="shared" si="10"/>
        <v>0.4455032058102702</v>
      </c>
      <c r="N29" s="248"/>
      <c r="O29" s="248"/>
      <c r="P29" s="248"/>
      <c r="Q29" s="248"/>
      <c r="R29" s="248"/>
      <c r="S29" s="248"/>
      <c r="T29" s="248"/>
      <c r="U29" s="248"/>
      <c r="V29" s="248"/>
      <c r="W29" s="248"/>
      <c r="X29" s="248"/>
      <c r="Y29" s="248"/>
      <c r="Z29" s="248"/>
      <c r="AA29" s="248"/>
    </row>
    <row r="30" spans="1:27" x14ac:dyDescent="0.2">
      <c r="A30" s="225" t="s">
        <v>181</v>
      </c>
      <c r="B30" s="148" t="s">
        <v>262</v>
      </c>
      <c r="C30" s="304">
        <f>D11</f>
        <v>36697.464000000007</v>
      </c>
      <c r="D30" s="305">
        <f t="shared" si="7"/>
        <v>2.7243915377580308E-2</v>
      </c>
      <c r="E30" s="323">
        <f>E11</f>
        <v>37621.991637430903</v>
      </c>
      <c r="F30" s="324">
        <f t="shared" si="11"/>
        <v>2.5193229631096381E-2</v>
      </c>
      <c r="G30" s="324">
        <f t="shared" si="12"/>
        <v>3.6156687909115748E-2</v>
      </c>
      <c r="H30" s="324">
        <f t="shared" si="13"/>
        <v>3.0699079019206987E-2</v>
      </c>
      <c r="I30" s="324">
        <f t="shared" si="14"/>
        <v>1.3470744257876088E-2</v>
      </c>
      <c r="J30" s="325">
        <f t="shared" si="15"/>
        <v>5.8415271812901626E-3</v>
      </c>
      <c r="K30" s="306">
        <f t="shared" si="9"/>
        <v>2.2211508381489109E-2</v>
      </c>
      <c r="L30" s="307">
        <f t="shared" si="10"/>
        <v>5.5301848849010737E-2</v>
      </c>
      <c r="N30" s="248"/>
      <c r="O30" s="248"/>
      <c r="P30" s="248"/>
      <c r="Q30" s="248"/>
      <c r="R30" s="248"/>
      <c r="S30" s="248"/>
      <c r="T30" s="248"/>
      <c r="U30" s="248"/>
      <c r="V30" s="248"/>
      <c r="W30" s="248"/>
      <c r="X30" s="248"/>
      <c r="Y30" s="248"/>
      <c r="Z30" s="248"/>
      <c r="AA30" s="248"/>
    </row>
    <row r="31" spans="1:27" ht="12.75" thickBot="1" x14ac:dyDescent="0.25">
      <c r="A31" s="226"/>
      <c r="B31" s="149" t="s">
        <v>179</v>
      </c>
      <c r="C31" s="312">
        <f>D12</f>
        <v>208921.19199999998</v>
      </c>
      <c r="D31" s="305">
        <f t="shared" si="7"/>
        <v>9.3347130329997086E-3</v>
      </c>
      <c r="E31" s="330">
        <f>E12</f>
        <v>213915.24723740749</v>
      </c>
      <c r="F31" s="324">
        <f t="shared" si="11"/>
        <v>2.3904014665048878E-2</v>
      </c>
      <c r="G31" s="324">
        <f t="shared" si="12"/>
        <v>1.163872158121948E-2</v>
      </c>
      <c r="H31" s="324">
        <f t="shared" si="13"/>
        <v>1.1504820182274944E-2</v>
      </c>
      <c r="I31" s="324">
        <f t="shared" si="14"/>
        <v>1.1373964762918964E-2</v>
      </c>
      <c r="J31" s="325">
        <f t="shared" si="15"/>
        <v>1.1246052557408293E-2</v>
      </c>
      <c r="K31" s="306">
        <f t="shared" si="9"/>
        <v>1.3921310517560626E-2</v>
      </c>
      <c r="L31" s="307">
        <f t="shared" si="10"/>
        <v>0.19732774863993785</v>
      </c>
      <c r="N31" s="248"/>
      <c r="O31" s="248"/>
      <c r="P31" s="248"/>
      <c r="Q31" s="248"/>
      <c r="R31" s="248"/>
      <c r="S31" s="248"/>
      <c r="T31" s="248"/>
      <c r="U31" s="248"/>
      <c r="V31" s="248"/>
      <c r="W31" s="248"/>
      <c r="X31" s="248"/>
      <c r="Y31" s="248"/>
      <c r="Z31" s="248"/>
      <c r="AA31" s="248"/>
    </row>
    <row r="32" spans="1:27" ht="12.75" thickBot="1" x14ac:dyDescent="0.25">
      <c r="A32" s="227"/>
      <c r="B32" s="150" t="s">
        <v>180</v>
      </c>
      <c r="C32" s="313">
        <f>C30+C31</f>
        <v>245618.65599999999</v>
      </c>
      <c r="D32" s="309">
        <f t="shared" si="7"/>
        <v>1.1970712463004407E-2</v>
      </c>
      <c r="E32" s="331">
        <f>E30+E31</f>
        <v>251537.2388748384</v>
      </c>
      <c r="F32" s="327">
        <f t="shared" si="11"/>
        <v>2.4096634071796297E-2</v>
      </c>
      <c r="G32" s="328">
        <f t="shared" si="12"/>
        <v>1.5305831581635232E-2</v>
      </c>
      <c r="H32" s="328">
        <f t="shared" si="13"/>
        <v>1.4434629757922757E-2</v>
      </c>
      <c r="I32" s="328">
        <f t="shared" si="14"/>
        <v>1.169914835912822E-2</v>
      </c>
      <c r="J32" s="329">
        <f t="shared" si="15"/>
        <v>1.0406412284391209E-2</v>
      </c>
      <c r="K32" s="310">
        <f t="shared" si="9"/>
        <v>1.5177240757946908E-2</v>
      </c>
      <c r="L32" s="311">
        <f t="shared" si="10"/>
        <v>0.2529179886293686</v>
      </c>
      <c r="N32" s="248"/>
      <c r="O32" s="248"/>
      <c r="P32" s="248"/>
      <c r="Q32" s="248"/>
      <c r="R32" s="248"/>
      <c r="S32" s="248"/>
      <c r="T32" s="248"/>
      <c r="U32" s="248"/>
      <c r="V32" s="248"/>
      <c r="W32" s="248"/>
      <c r="X32" s="248"/>
      <c r="Y32" s="248"/>
      <c r="Z32" s="248"/>
      <c r="AA32" s="248"/>
    </row>
    <row r="33" spans="1:27" x14ac:dyDescent="0.2">
      <c r="A33" s="225" t="s">
        <v>183</v>
      </c>
      <c r="B33" s="148" t="s">
        <v>262</v>
      </c>
      <c r="C33" s="304">
        <f>D14</f>
        <v>44051.903999999995</v>
      </c>
      <c r="D33" s="305">
        <f t="shared" si="7"/>
        <v>7.4135846294560936E-2</v>
      </c>
      <c r="E33" s="323">
        <f>E14</f>
        <v>44204.177374492101</v>
      </c>
      <c r="F33" s="324">
        <f t="shared" si="11"/>
        <v>3.4566808847151798E-3</v>
      </c>
      <c r="G33" s="324">
        <f t="shared" si="12"/>
        <v>3.7586376676204125E-2</v>
      </c>
      <c r="H33" s="324">
        <f t="shared" si="13"/>
        <v>1.6994435523302709E-2</v>
      </c>
      <c r="I33" s="324">
        <f t="shared" si="14"/>
        <v>6.0300453674531074E-3</v>
      </c>
      <c r="J33" s="325">
        <f t="shared" si="15"/>
        <v>1.9594237064985975E-3</v>
      </c>
      <c r="K33" s="306">
        <f t="shared" si="9"/>
        <v>1.3119117118855828E-2</v>
      </c>
      <c r="L33" s="307">
        <f t="shared" si="10"/>
        <v>3.9209819097354374E-2</v>
      </c>
      <c r="N33" s="248"/>
      <c r="O33" s="248"/>
      <c r="P33" s="248"/>
      <c r="Q33" s="248"/>
      <c r="R33" s="248"/>
      <c r="S33" s="248"/>
      <c r="T33" s="248"/>
      <c r="U33" s="248"/>
      <c r="V33" s="248"/>
      <c r="W33" s="248"/>
      <c r="X33" s="248"/>
      <c r="Y33" s="248"/>
      <c r="Z33" s="248"/>
      <c r="AA33" s="248"/>
    </row>
    <row r="34" spans="1:27" ht="12.75" thickBot="1" x14ac:dyDescent="0.25">
      <c r="A34" s="226"/>
      <c r="B34" s="149" t="s">
        <v>179</v>
      </c>
      <c r="C34" s="312">
        <f>D15</f>
        <v>304178.39799999999</v>
      </c>
      <c r="D34" s="305">
        <f t="shared" si="7"/>
        <v>8.4633389155068794E-3</v>
      </c>
      <c r="E34" s="330">
        <f>E15</f>
        <v>309900.20586618269</v>
      </c>
      <c r="F34" s="324">
        <f t="shared" si="11"/>
        <v>1.8810697616280736E-2</v>
      </c>
      <c r="G34" s="324">
        <f t="shared" si="12"/>
        <v>6.4308112425064401E-3</v>
      </c>
      <c r="H34" s="324">
        <f t="shared" si="13"/>
        <v>6.3005741035122576E-3</v>
      </c>
      <c r="I34" s="324">
        <f t="shared" si="14"/>
        <v>6.2609753236098076E-3</v>
      </c>
      <c r="J34" s="325">
        <f t="shared" si="15"/>
        <v>6.222019160872394E-3</v>
      </c>
      <c r="K34" s="306">
        <f t="shared" si="9"/>
        <v>8.7926691512199007E-3</v>
      </c>
      <c r="L34" s="307">
        <f t="shared" si="10"/>
        <v>0.18145738399079162</v>
      </c>
      <c r="N34" s="248"/>
      <c r="O34" s="248"/>
      <c r="P34" s="248"/>
      <c r="Q34" s="248"/>
      <c r="R34" s="248"/>
      <c r="S34" s="248"/>
      <c r="T34" s="248"/>
      <c r="U34" s="248"/>
      <c r="V34" s="248"/>
      <c r="W34" s="248"/>
      <c r="X34" s="248"/>
      <c r="Y34" s="248"/>
      <c r="Z34" s="248"/>
      <c r="AA34" s="248"/>
    </row>
    <row r="35" spans="1:27" ht="12.75" thickBot="1" x14ac:dyDescent="0.25">
      <c r="A35" s="227"/>
      <c r="B35" s="150" t="s">
        <v>180</v>
      </c>
      <c r="C35" s="313">
        <f>C33+C34</f>
        <v>348230.30199999997</v>
      </c>
      <c r="D35" s="309">
        <f t="shared" si="7"/>
        <v>1.6323920139405868E-2</v>
      </c>
      <c r="E35" s="331">
        <f>E33+E34</f>
        <v>354104.3832406748</v>
      </c>
      <c r="F35" s="327">
        <f t="shared" si="11"/>
        <v>1.6868380514096781E-2</v>
      </c>
      <c r="G35" s="328">
        <f t="shared" si="12"/>
        <v>1.0320077249410753E-2</v>
      </c>
      <c r="H35" s="328">
        <f t="shared" si="13"/>
        <v>7.6715563771669881E-3</v>
      </c>
      <c r="I35" s="328">
        <f t="shared" si="14"/>
        <v>6.2310955613527064E-3</v>
      </c>
      <c r="J35" s="329">
        <f t="shared" si="15"/>
        <v>5.6705970212809209E-3</v>
      </c>
      <c r="K35" s="310">
        <f t="shared" si="9"/>
        <v>9.3440859203219873E-3</v>
      </c>
      <c r="L35" s="311">
        <f t="shared" si="10"/>
        <v>0.22076434239772075</v>
      </c>
      <c r="N35" s="248"/>
      <c r="O35" s="248"/>
      <c r="P35" s="248"/>
      <c r="Q35" s="248"/>
      <c r="R35" s="248"/>
      <c r="S35" s="248"/>
      <c r="T35" s="248"/>
      <c r="U35" s="248"/>
      <c r="V35" s="248"/>
      <c r="W35" s="248"/>
      <c r="X35" s="248"/>
      <c r="Y35" s="248"/>
      <c r="Z35" s="248"/>
      <c r="AA35" s="248"/>
    </row>
    <row r="36" spans="1:27" x14ac:dyDescent="0.2">
      <c r="A36" s="225" t="s">
        <v>184</v>
      </c>
      <c r="B36" s="148" t="s">
        <v>262</v>
      </c>
      <c r="C36" s="304">
        <f>D17</f>
        <v>62642.896000000008</v>
      </c>
      <c r="D36" s="305">
        <f t="shared" si="7"/>
        <v>3.8902203123786894E-2</v>
      </c>
      <c r="E36" s="323">
        <f>E17</f>
        <v>63038.271362966399</v>
      </c>
      <c r="F36" s="324">
        <f t="shared" si="11"/>
        <v>6.3115754253506573E-3</v>
      </c>
      <c r="G36" s="324">
        <f t="shared" si="12"/>
        <v>-3.0254482957354778E-3</v>
      </c>
      <c r="H36" s="324">
        <f t="shared" si="13"/>
        <v>3.3181451775299298E-3</v>
      </c>
      <c r="I36" s="324">
        <f t="shared" si="14"/>
        <v>1.3972549790364219E-4</v>
      </c>
      <c r="J36" s="325">
        <f t="shared" si="15"/>
        <v>-8.4920571377744558E-4</v>
      </c>
      <c r="K36" s="306">
        <f t="shared" si="9"/>
        <v>1.1735897494398184E-3</v>
      </c>
      <c r="L36" s="307">
        <f t="shared" si="10"/>
        <v>4.9878533939810227E-3</v>
      </c>
      <c r="N36" s="248"/>
      <c r="O36" s="248"/>
      <c r="P36" s="248"/>
      <c r="Q36" s="248"/>
      <c r="R36" s="248"/>
      <c r="S36" s="248"/>
      <c r="T36" s="248"/>
      <c r="U36" s="248"/>
      <c r="V36" s="248"/>
      <c r="W36" s="248"/>
      <c r="X36" s="248"/>
      <c r="Y36" s="248"/>
      <c r="Z36" s="248"/>
      <c r="AA36" s="248"/>
    </row>
    <row r="37" spans="1:27" ht="12.75" thickBot="1" x14ac:dyDescent="0.25">
      <c r="A37" s="226"/>
      <c r="B37" s="149" t="s">
        <v>179</v>
      </c>
      <c r="C37" s="312">
        <f>D18</f>
        <v>158557.56200000001</v>
      </c>
      <c r="D37" s="305">
        <f t="shared" si="7"/>
        <v>6.5674669778427397E-2</v>
      </c>
      <c r="E37" s="330">
        <f>E18</f>
        <v>163134.66715833201</v>
      </c>
      <c r="F37" s="324">
        <f t="shared" si="11"/>
        <v>2.8867151465989505E-2</v>
      </c>
      <c r="G37" s="324">
        <f t="shared" si="12"/>
        <v>2.456994225629372E-2</v>
      </c>
      <c r="H37" s="324">
        <f t="shared" si="13"/>
        <v>2.3980736934548164E-2</v>
      </c>
      <c r="I37" s="324">
        <f t="shared" si="14"/>
        <v>2.3419128963634295E-2</v>
      </c>
      <c r="J37" s="325">
        <f t="shared" si="15"/>
        <v>2.2883223794488261E-2</v>
      </c>
      <c r="K37" s="306">
        <f t="shared" si="9"/>
        <v>2.4741812563403576E-2</v>
      </c>
      <c r="L37" s="307">
        <f t="shared" si="10"/>
        <v>0.26616075342170292</v>
      </c>
      <c r="N37" s="248"/>
      <c r="O37" s="248"/>
      <c r="P37" s="248"/>
      <c r="Q37" s="248"/>
      <c r="R37" s="248"/>
      <c r="S37" s="248"/>
      <c r="T37" s="248"/>
      <c r="U37" s="248"/>
      <c r="V37" s="248"/>
      <c r="W37" s="248"/>
      <c r="X37" s="248"/>
      <c r="Y37" s="248"/>
      <c r="Z37" s="248"/>
      <c r="AA37" s="248"/>
    </row>
    <row r="38" spans="1:27" ht="12.75" thickBot="1" x14ac:dyDescent="0.25">
      <c r="A38" s="227"/>
      <c r="B38" s="150" t="s">
        <v>180</v>
      </c>
      <c r="C38" s="313">
        <f>C36+C37</f>
        <v>221200.45800000001</v>
      </c>
      <c r="D38" s="309">
        <f t="shared" si="7"/>
        <v>5.7953800008893275E-2</v>
      </c>
      <c r="E38" s="331">
        <f>E36+E37</f>
        <v>226172.93852129841</v>
      </c>
      <c r="F38" s="327">
        <f t="shared" si="11"/>
        <v>2.2479521815901515E-2</v>
      </c>
      <c r="G38" s="328">
        <f t="shared" si="12"/>
        <v>1.6878634315746099E-2</v>
      </c>
      <c r="H38" s="328">
        <f t="shared" si="13"/>
        <v>1.8334444072255485E-2</v>
      </c>
      <c r="I38" s="328">
        <f t="shared" si="14"/>
        <v>1.715156628769865E-2</v>
      </c>
      <c r="J38" s="329">
        <f t="shared" si="15"/>
        <v>1.6600556765378194E-2</v>
      </c>
      <c r="K38" s="310">
        <f t="shared" si="9"/>
        <v>1.8286621718875518E-2</v>
      </c>
      <c r="L38" s="311">
        <f t="shared" si="10"/>
        <v>0.27443850713272844</v>
      </c>
      <c r="N38" s="248"/>
      <c r="O38" s="248"/>
      <c r="P38" s="248"/>
      <c r="Q38" s="248"/>
      <c r="R38" s="248"/>
      <c r="S38" s="248"/>
      <c r="T38" s="248"/>
      <c r="U38" s="248"/>
      <c r="V38" s="248"/>
      <c r="W38" s="248"/>
      <c r="X38" s="248"/>
      <c r="Y38" s="248"/>
      <c r="Z38" s="248"/>
      <c r="AA38" s="248"/>
    </row>
    <row r="39" spans="1:27" ht="12.75" thickBot="1" x14ac:dyDescent="0.25">
      <c r="A39" s="249" t="s">
        <v>185</v>
      </c>
      <c r="B39" s="250"/>
      <c r="C39" s="301">
        <f>C29+C32+C35+C38</f>
        <v>1473921.8420000002</v>
      </c>
      <c r="D39" s="314">
        <f t="shared" si="7"/>
        <v>1.9804428210548064E-2</v>
      </c>
      <c r="E39" s="332">
        <f>E29+E32+E35+E38</f>
        <v>1494396.8581320834</v>
      </c>
      <c r="F39" s="333">
        <f t="shared" si="11"/>
        <v>1.3891520940011448E-2</v>
      </c>
      <c r="G39" s="333">
        <f t="shared" si="12"/>
        <v>1.2492116664260644E-2</v>
      </c>
      <c r="H39" s="333">
        <f t="shared" si="13"/>
        <v>1.1978801783463888E-2</v>
      </c>
      <c r="I39" s="333">
        <f t="shared" si="14"/>
        <v>1.0954935034971358E-2</v>
      </c>
      <c r="J39" s="334">
        <f t="shared" si="15"/>
        <v>1.0477688772042359E-2</v>
      </c>
      <c r="K39" s="315">
        <f t="shared" si="9"/>
        <v>1.1958299207572631E-2</v>
      </c>
      <c r="L39" s="316">
        <f t="shared" si="10"/>
        <v>1.1958299207572631</v>
      </c>
      <c r="M39" s="151"/>
      <c r="N39" s="248"/>
      <c r="O39" s="248"/>
      <c r="P39" s="248"/>
      <c r="Q39" s="248"/>
      <c r="R39" s="248"/>
      <c r="S39" s="248"/>
      <c r="T39" s="248"/>
      <c r="U39" s="248"/>
      <c r="V39" s="248"/>
      <c r="W39" s="248"/>
      <c r="X39" s="248"/>
      <c r="Y39" s="248"/>
      <c r="Z39" s="248"/>
      <c r="AA39" s="248"/>
    </row>
    <row r="40" spans="1:27" ht="12.75" x14ac:dyDescent="0.2">
      <c r="A40" s="167"/>
      <c r="B40" s="171" t="s">
        <v>214</v>
      </c>
      <c r="C40" s="302">
        <f>C26+C30+C33+C36+C27</f>
        <v>439196.22100000002</v>
      </c>
      <c r="D40" s="317">
        <f t="shared" si="7"/>
        <v>2.2555493588594322E-2</v>
      </c>
      <c r="E40" s="335">
        <f>E26+E27+E30+E33+E36</f>
        <v>437912.42695754161</v>
      </c>
      <c r="F40" s="336">
        <f t="shared" si="11"/>
        <v>-2.9230534805955166E-3</v>
      </c>
      <c r="G40" s="336">
        <f t="shared" si="12"/>
        <v>1.0743573282840257E-2</v>
      </c>
      <c r="H40" s="336">
        <f t="shared" si="13"/>
        <v>9.4643290980631622E-3</v>
      </c>
      <c r="I40" s="336">
        <f t="shared" si="14"/>
        <v>6.3528648181103708E-3</v>
      </c>
      <c r="J40" s="337">
        <f t="shared" si="15"/>
        <v>5.0784510046202325E-3</v>
      </c>
      <c r="K40" s="318">
        <f t="shared" si="9"/>
        <v>5.7317901553162187E-3</v>
      </c>
      <c r="L40" s="319">
        <f t="shared" si="10"/>
        <v>0.17079471272126559</v>
      </c>
      <c r="M40" s="151"/>
      <c r="N40" s="248"/>
      <c r="O40" s="248"/>
      <c r="P40" s="248"/>
      <c r="Q40" s="248"/>
      <c r="R40" s="248"/>
      <c r="S40" s="248"/>
      <c r="T40" s="248"/>
      <c r="U40" s="248"/>
      <c r="V40" s="248"/>
      <c r="W40" s="248"/>
      <c r="X40" s="248"/>
      <c r="Y40" s="248"/>
      <c r="Z40" s="248"/>
      <c r="AA40" s="248"/>
    </row>
    <row r="41" spans="1:27" ht="13.5" thickBot="1" x14ac:dyDescent="0.25">
      <c r="A41" s="169"/>
      <c r="B41" s="172" t="s">
        <v>215</v>
      </c>
      <c r="C41" s="303">
        <f>C28+C31+C34+C37</f>
        <v>1034725.6210000002</v>
      </c>
      <c r="D41" s="320">
        <f t="shared" si="7"/>
        <v>1.8641190025004306E-2</v>
      </c>
      <c r="E41" s="338">
        <f>E28+E31+E34+E37</f>
        <v>1056484.4311745418</v>
      </c>
      <c r="F41" s="339">
        <f t="shared" si="11"/>
        <v>2.1028579686190652E-2</v>
      </c>
      <c r="G41" s="339">
        <f t="shared" si="12"/>
        <v>1.3216887283878043E-2</v>
      </c>
      <c r="H41" s="339">
        <f t="shared" si="13"/>
        <v>1.3018505650967294E-2</v>
      </c>
      <c r="I41" s="339">
        <f t="shared" si="14"/>
        <v>1.2851158759703107E-2</v>
      </c>
      <c r="J41" s="340">
        <f t="shared" si="15"/>
        <v>1.2688101874548829E-2</v>
      </c>
      <c r="K41" s="321">
        <f t="shared" si="9"/>
        <v>1.4555493548617626E-2</v>
      </c>
      <c r="L41" s="322">
        <f t="shared" si="10"/>
        <v>1.021827730065952</v>
      </c>
      <c r="M41" s="151"/>
      <c r="N41" s="248"/>
      <c r="O41" s="248"/>
      <c r="P41" s="248"/>
      <c r="Q41" s="248"/>
      <c r="R41" s="248"/>
      <c r="S41" s="248"/>
      <c r="T41" s="248"/>
      <c r="U41" s="248"/>
      <c r="V41" s="248"/>
      <c r="W41" s="248"/>
      <c r="X41" s="248"/>
      <c r="Y41" s="248"/>
      <c r="Z41" s="248"/>
      <c r="AA41" s="248"/>
    </row>
    <row r="42" spans="1:27" x14ac:dyDescent="0.2">
      <c r="N42" s="248"/>
      <c r="O42" s="248"/>
      <c r="P42" s="248"/>
      <c r="Q42" s="248"/>
      <c r="R42" s="248"/>
      <c r="S42" s="248"/>
      <c r="T42" s="248"/>
      <c r="U42" s="248"/>
      <c r="V42" s="248"/>
      <c r="W42" s="248"/>
      <c r="X42" s="248"/>
      <c r="Y42" s="248"/>
      <c r="Z42" s="248"/>
      <c r="AA42" s="248"/>
    </row>
    <row r="43" spans="1:27" ht="12.75" x14ac:dyDescent="0.2">
      <c r="A43" s="141" t="s">
        <v>193</v>
      </c>
    </row>
    <row r="44" spans="1:27" ht="12.75" thickBot="1" x14ac:dyDescent="0.25"/>
    <row r="45" spans="1:27" ht="13.5" customHeight="1" thickTop="1" thickBot="1" x14ac:dyDescent="0.25">
      <c r="A45" s="652" t="s">
        <v>194</v>
      </c>
      <c r="B45" s="342"/>
      <c r="C45" s="343" t="s">
        <v>177</v>
      </c>
      <c r="D45" s="343" t="s">
        <v>177</v>
      </c>
      <c r="E45" s="654" t="s">
        <v>1</v>
      </c>
      <c r="F45" s="655"/>
      <c r="G45" s="655"/>
      <c r="H45" s="655"/>
      <c r="I45" s="656"/>
      <c r="J45"/>
      <c r="K45"/>
      <c r="L45"/>
      <c r="M45"/>
    </row>
    <row r="46" spans="1:27" ht="12.75" customHeight="1" thickBot="1" x14ac:dyDescent="0.25">
      <c r="A46" s="653"/>
      <c r="B46" s="344"/>
      <c r="C46" s="297">
        <v>2022</v>
      </c>
      <c r="D46" s="297">
        <v>2023</v>
      </c>
      <c r="E46" s="297">
        <v>2024</v>
      </c>
      <c r="F46" s="297">
        <f>E46+1</f>
        <v>2025</v>
      </c>
      <c r="G46" s="297">
        <f>F46+1</f>
        <v>2026</v>
      </c>
      <c r="H46" s="297">
        <f>G46+1</f>
        <v>2027</v>
      </c>
      <c r="I46" s="297">
        <f>H46+1</f>
        <v>2028</v>
      </c>
      <c r="J46"/>
      <c r="K46"/>
      <c r="L46"/>
      <c r="M46"/>
    </row>
    <row r="47" spans="1:27" ht="12" customHeight="1" x14ac:dyDescent="0.2">
      <c r="A47" s="642" t="s">
        <v>178</v>
      </c>
      <c r="B47" s="144" t="s">
        <v>261</v>
      </c>
      <c r="C47" s="251">
        <v>12.760012215278241</v>
      </c>
      <c r="D47" s="251">
        <v>13.582577382689291</v>
      </c>
      <c r="E47" s="251">
        <v>13.88864671305946</v>
      </c>
      <c r="F47" s="251">
        <v>14.088646713059459</v>
      </c>
      <c r="G47" s="251">
        <v>14.278646713059459</v>
      </c>
      <c r="H47" s="251">
        <v>14.498646713059461</v>
      </c>
      <c r="I47" s="252">
        <v>14.738646713059461</v>
      </c>
      <c r="J47"/>
      <c r="K47" s="89"/>
      <c r="L47" s="89"/>
      <c r="M47" s="89"/>
      <c r="N47" s="89"/>
      <c r="O47" s="89"/>
      <c r="P47" s="89"/>
      <c r="Q47" s="89"/>
    </row>
    <row r="48" spans="1:27" ht="12" customHeight="1" x14ac:dyDescent="0.2">
      <c r="A48" s="643"/>
      <c r="B48" s="144" t="s">
        <v>217</v>
      </c>
      <c r="C48" s="345">
        <v>10.647237807671496</v>
      </c>
      <c r="D48" s="345">
        <v>11.273927439555454</v>
      </c>
      <c r="E48" s="345">
        <v>11.562681895352119</v>
      </c>
      <c r="F48" s="345">
        <v>11.762681895352118</v>
      </c>
      <c r="G48" s="345">
        <v>11.952681895352118</v>
      </c>
      <c r="H48" s="345">
        <v>12.17268189535212</v>
      </c>
      <c r="I48" s="346">
        <v>12.412681895352121</v>
      </c>
      <c r="J48"/>
      <c r="K48" s="89"/>
      <c r="L48" s="89"/>
      <c r="M48" s="89"/>
      <c r="N48" s="89"/>
      <c r="O48" s="89"/>
      <c r="P48" s="89"/>
      <c r="Q48" s="89"/>
    </row>
    <row r="49" spans="1:19" ht="12" customHeight="1" x14ac:dyDescent="0.2">
      <c r="A49" s="643"/>
      <c r="B49" s="144" t="s">
        <v>179</v>
      </c>
      <c r="C49" s="347">
        <v>15.559446067502607</v>
      </c>
      <c r="D49" s="347">
        <v>16.191201649075175</v>
      </c>
      <c r="E49" s="347">
        <v>16.516835661443238</v>
      </c>
      <c r="F49" s="347">
        <v>16.716835661443238</v>
      </c>
      <c r="G49" s="347">
        <v>16.906835661443239</v>
      </c>
      <c r="H49" s="347">
        <v>17.126835661443241</v>
      </c>
      <c r="I49" s="348">
        <v>17.36683566144324</v>
      </c>
      <c r="J49"/>
      <c r="K49" s="89"/>
      <c r="L49" s="89"/>
      <c r="M49" s="89"/>
      <c r="N49" s="89"/>
      <c r="O49" s="89"/>
      <c r="P49" s="89"/>
      <c r="Q49" s="89"/>
    </row>
    <row r="50" spans="1:19" ht="12.75" customHeight="1" thickBot="1" x14ac:dyDescent="0.25">
      <c r="A50" s="644"/>
      <c r="B50" s="146" t="s">
        <v>180</v>
      </c>
      <c r="C50" s="349">
        <v>13.977375550518527</v>
      </c>
      <c r="D50" s="349">
        <v>14.61889961836102</v>
      </c>
      <c r="E50" s="349">
        <v>14.940448365124963</v>
      </c>
      <c r="F50" s="349">
        <v>15.140448365124962</v>
      </c>
      <c r="G50" s="349">
        <v>15.330448365124962</v>
      </c>
      <c r="H50" s="349">
        <v>15.550448365124964</v>
      </c>
      <c r="I50" s="350">
        <v>15.790448365124965</v>
      </c>
      <c r="J50"/>
      <c r="K50" s="89"/>
      <c r="L50" s="89"/>
      <c r="M50" s="89"/>
      <c r="N50" s="89"/>
      <c r="O50" s="89"/>
      <c r="P50" s="89"/>
      <c r="Q50" s="89"/>
    </row>
    <row r="51" spans="1:19" ht="12.75" x14ac:dyDescent="0.2">
      <c r="A51" s="642" t="s">
        <v>181</v>
      </c>
      <c r="B51" s="143" t="s">
        <v>182</v>
      </c>
      <c r="C51" s="351">
        <v>13.732756075947883</v>
      </c>
      <c r="D51" s="351">
        <v>14.478833796253602</v>
      </c>
      <c r="E51" s="351">
        <v>14.791625049725504</v>
      </c>
      <c r="F51" s="351">
        <v>14.991625049725503</v>
      </c>
      <c r="G51" s="351">
        <v>15.181625049725502</v>
      </c>
      <c r="H51" s="351">
        <v>15.401625049725505</v>
      </c>
      <c r="I51" s="352">
        <v>15.641625049725505</v>
      </c>
      <c r="J51"/>
      <c r="K51" s="89"/>
      <c r="L51" s="89"/>
      <c r="M51" s="89"/>
      <c r="N51" s="89"/>
      <c r="O51" s="89"/>
      <c r="P51" s="89"/>
      <c r="Q51" s="89"/>
    </row>
    <row r="52" spans="1:19" ht="12" customHeight="1" x14ac:dyDescent="0.2">
      <c r="A52" s="643"/>
      <c r="B52" s="144" t="s">
        <v>179</v>
      </c>
      <c r="C52" s="353">
        <v>20.752714454969905</v>
      </c>
      <c r="D52" s="353">
        <v>21.543385445551163</v>
      </c>
      <c r="E52" s="353">
        <v>21.909160836392797</v>
      </c>
      <c r="F52" s="353">
        <v>22.109160836392796</v>
      </c>
      <c r="G52" s="353">
        <v>22.299160836392794</v>
      </c>
      <c r="H52" s="353">
        <v>22.519160836392796</v>
      </c>
      <c r="I52" s="354">
        <v>22.759160836392795</v>
      </c>
      <c r="J52"/>
      <c r="K52" s="89"/>
      <c r="L52" s="89"/>
      <c r="M52" s="89"/>
      <c r="N52" s="89"/>
      <c r="O52" s="89"/>
      <c r="P52" s="89"/>
      <c r="Q52" s="89"/>
    </row>
    <row r="53" spans="1:19" ht="12.75" customHeight="1" thickBot="1" x14ac:dyDescent="0.25">
      <c r="A53" s="644"/>
      <c r="B53" s="146" t="s">
        <v>180</v>
      </c>
      <c r="C53" s="349">
        <v>19.740587090400457</v>
      </c>
      <c r="D53" s="349">
        <v>20.48788284632581</v>
      </c>
      <c r="E53" s="349">
        <v>20.845885176619248</v>
      </c>
      <c r="F53" s="349">
        <v>21.045885176619247</v>
      </c>
      <c r="G53" s="349">
        <v>21.235885176619249</v>
      </c>
      <c r="H53" s="349">
        <v>21.455885176619251</v>
      </c>
      <c r="I53" s="350">
        <v>21.69588517661925</v>
      </c>
      <c r="J53"/>
      <c r="K53" s="89"/>
      <c r="L53" s="89"/>
      <c r="M53" s="89"/>
      <c r="N53" s="89"/>
      <c r="O53" s="89"/>
      <c r="P53" s="89"/>
      <c r="Q53" s="89"/>
    </row>
    <row r="54" spans="1:19" ht="12.75" x14ac:dyDescent="0.2">
      <c r="A54" s="642" t="s">
        <v>183</v>
      </c>
      <c r="B54" s="143" t="str">
        <f>B51</f>
        <v>Cdd</v>
      </c>
      <c r="C54" s="351">
        <v>14.328874262883144</v>
      </c>
      <c r="D54" s="351">
        <v>15.28884942180933</v>
      </c>
      <c r="E54" s="351">
        <v>15.607715792472899</v>
      </c>
      <c r="F54" s="351">
        <v>15.807715792472898</v>
      </c>
      <c r="G54" s="351">
        <v>15.997715792472897</v>
      </c>
      <c r="H54" s="351">
        <v>16.217715792472902</v>
      </c>
      <c r="I54" s="352">
        <v>16.457715792472904</v>
      </c>
      <c r="J54"/>
      <c r="K54" s="89"/>
      <c r="L54" s="89"/>
      <c r="M54" s="89"/>
      <c r="N54" s="89"/>
      <c r="O54" s="89"/>
      <c r="P54" s="89"/>
      <c r="Q54" s="89"/>
    </row>
    <row r="55" spans="1:19" ht="12" customHeight="1" x14ac:dyDescent="0.2">
      <c r="A55" s="643"/>
      <c r="B55" s="144" t="s">
        <v>179</v>
      </c>
      <c r="C55" s="353">
        <v>23.446963176204445</v>
      </c>
      <c r="D55" s="353">
        <v>24.518125997888909</v>
      </c>
      <c r="E55" s="353">
        <v>24.906211942873078</v>
      </c>
      <c r="F55" s="353">
        <v>25.106211942873077</v>
      </c>
      <c r="G55" s="353">
        <v>25.296211942873079</v>
      </c>
      <c r="H55" s="353">
        <v>25.516211942873081</v>
      </c>
      <c r="I55" s="354">
        <v>25.75621194287308</v>
      </c>
      <c r="J55"/>
      <c r="K55" s="89"/>
      <c r="L55" s="89"/>
      <c r="M55" s="89"/>
      <c r="N55" s="89"/>
      <c r="O55" s="89"/>
      <c r="P55" s="89"/>
      <c r="Q55" s="89"/>
    </row>
    <row r="56" spans="1:19" ht="12.75" customHeight="1" thickBot="1" x14ac:dyDescent="0.25">
      <c r="A56" s="644"/>
      <c r="B56" s="146" t="s">
        <v>180</v>
      </c>
      <c r="C56" s="349">
        <v>22.369105004123757</v>
      </c>
      <c r="D56" s="349">
        <v>23.350602082296678</v>
      </c>
      <c r="E56" s="349">
        <v>23.72462553600301</v>
      </c>
      <c r="F56" s="349">
        <v>23.92462553600301</v>
      </c>
      <c r="G56" s="349">
        <v>24.114625536003011</v>
      </c>
      <c r="H56" s="349">
        <v>24.334625536003013</v>
      </c>
      <c r="I56" s="350">
        <v>24.574625536003012</v>
      </c>
      <c r="J56"/>
      <c r="K56" s="89"/>
      <c r="L56" s="89"/>
      <c r="M56" s="89"/>
      <c r="N56" s="89"/>
      <c r="O56" s="89"/>
      <c r="P56" s="89"/>
      <c r="Q56" s="89"/>
    </row>
    <row r="57" spans="1:19" ht="12.75" x14ac:dyDescent="0.2">
      <c r="A57" s="642" t="s">
        <v>184</v>
      </c>
      <c r="B57" s="144" t="str">
        <f>B54</f>
        <v>Cdd</v>
      </c>
      <c r="C57" s="351">
        <v>9.6451193125475054</v>
      </c>
      <c r="D57" s="351">
        <v>9.8175685555789105</v>
      </c>
      <c r="E57" s="351">
        <v>10.095400319745751</v>
      </c>
      <c r="F57" s="351">
        <v>10.295400319745751</v>
      </c>
      <c r="G57" s="351">
        <v>10.48540031974575</v>
      </c>
      <c r="H57" s="351">
        <v>10.705400319745753</v>
      </c>
      <c r="I57" s="352">
        <v>10.945400319745753</v>
      </c>
      <c r="J57"/>
      <c r="K57" s="89"/>
      <c r="L57" s="89"/>
      <c r="M57" s="89"/>
      <c r="N57" s="89"/>
      <c r="O57" s="89"/>
      <c r="P57" s="89"/>
      <c r="Q57" s="89"/>
    </row>
    <row r="58" spans="1:19" ht="12" customHeight="1" x14ac:dyDescent="0.2">
      <c r="A58" s="643"/>
      <c r="B58" s="147" t="s">
        <v>179</v>
      </c>
      <c r="C58" s="353">
        <v>15.92307047990073</v>
      </c>
      <c r="D58" s="353">
        <v>16.11618916668257</v>
      </c>
      <c r="E58" s="353">
        <v>16.406189166682569</v>
      </c>
      <c r="F58" s="353">
        <v>16.606189166682569</v>
      </c>
      <c r="G58" s="353">
        <v>16.796189166682566</v>
      </c>
      <c r="H58" s="353">
        <v>17.016189166682569</v>
      </c>
      <c r="I58" s="354">
        <v>17.256189166682567</v>
      </c>
      <c r="J58"/>
      <c r="K58" s="89"/>
      <c r="L58" s="89"/>
      <c r="M58" s="89"/>
      <c r="N58" s="89"/>
      <c r="O58" s="89"/>
      <c r="P58" s="89"/>
      <c r="Q58" s="89"/>
      <c r="R58" s="253"/>
      <c r="S58" s="253"/>
    </row>
    <row r="59" spans="1:19" ht="12.75" customHeight="1" thickBot="1" x14ac:dyDescent="0.25">
      <c r="A59" s="644"/>
      <c r="B59" s="146" t="s">
        <v>180</v>
      </c>
      <c r="C59" s="350">
        <v>14.118405413985792</v>
      </c>
      <c r="D59" s="350">
        <v>14.332450383081937</v>
      </c>
      <c r="E59" s="350">
        <v>14.640938888642042</v>
      </c>
      <c r="F59" s="350">
        <v>14.840938888642041</v>
      </c>
      <c r="G59" s="350">
        <v>15.030938888642041</v>
      </c>
      <c r="H59" s="350">
        <v>15.250938888642043</v>
      </c>
      <c r="I59" s="350">
        <v>15.490938888642043</v>
      </c>
      <c r="J59"/>
      <c r="K59" s="89"/>
      <c r="L59" s="89"/>
      <c r="M59" s="89"/>
      <c r="N59" s="89"/>
      <c r="O59" s="89"/>
      <c r="P59" s="89"/>
      <c r="Q59" s="89"/>
      <c r="R59" s="254"/>
      <c r="S59" s="254"/>
    </row>
    <row r="60" spans="1:19" ht="13.5" thickBot="1" x14ac:dyDescent="0.25">
      <c r="A60" s="255" t="s">
        <v>195</v>
      </c>
      <c r="B60" s="256"/>
      <c r="C60" s="355">
        <v>16.974986055393853</v>
      </c>
      <c r="D60" s="355">
        <v>17.616896072838035</v>
      </c>
      <c r="E60" s="355">
        <v>17.95322279338432</v>
      </c>
      <c r="F60" s="355">
        <v>18.15322279338432</v>
      </c>
      <c r="G60" s="355">
        <v>18.343222793384321</v>
      </c>
      <c r="H60" s="355">
        <v>18.563222793384323</v>
      </c>
      <c r="I60" s="355">
        <v>18.803222793384322</v>
      </c>
      <c r="J60"/>
      <c r="K60" s="89"/>
      <c r="L60" s="89"/>
      <c r="M60" s="89"/>
      <c r="N60" s="89"/>
      <c r="O60" s="89"/>
      <c r="P60" s="89"/>
      <c r="Q60" s="89"/>
      <c r="R60" s="89"/>
      <c r="S60" s="257"/>
    </row>
    <row r="61" spans="1:19" ht="12.75" x14ac:dyDescent="0.2">
      <c r="A61" s="245"/>
      <c r="B61" s="258"/>
      <c r="C61" s="257"/>
      <c r="D61" s="257"/>
      <c r="E61" s="257"/>
      <c r="F61" s="257"/>
      <c r="G61" s="257"/>
      <c r="H61" s="257"/>
      <c r="I61" s="257"/>
      <c r="J61"/>
      <c r="K61"/>
      <c r="L61"/>
      <c r="M61"/>
    </row>
    <row r="62" spans="1:19" ht="12.75" thickBot="1" x14ac:dyDescent="0.25"/>
    <row r="63" spans="1:19" ht="22.5" customHeight="1" thickTop="1" thickBot="1" x14ac:dyDescent="0.25">
      <c r="A63" s="159" t="s">
        <v>196</v>
      </c>
      <c r="B63" s="160"/>
      <c r="C63" s="645" t="s">
        <v>177</v>
      </c>
      <c r="D63" s="646"/>
      <c r="E63" s="647" t="s">
        <v>1</v>
      </c>
      <c r="F63" s="648"/>
      <c r="G63" s="648"/>
      <c r="H63" s="648"/>
      <c r="I63" s="648"/>
      <c r="J63" s="649"/>
      <c r="K63" s="650" t="s">
        <v>187</v>
      </c>
    </row>
    <row r="64" spans="1:19" ht="13.5" thickTop="1" thickBot="1" x14ac:dyDescent="0.25">
      <c r="A64" s="157" t="s">
        <v>197</v>
      </c>
      <c r="B64" s="158"/>
      <c r="C64" s="356">
        <v>2022</v>
      </c>
      <c r="D64" s="300" t="s">
        <v>190</v>
      </c>
      <c r="E64" s="341">
        <v>2023</v>
      </c>
      <c r="F64" s="341" t="s">
        <v>191</v>
      </c>
      <c r="G64" s="341" t="s">
        <v>192</v>
      </c>
      <c r="H64" s="341" t="s">
        <v>216</v>
      </c>
      <c r="I64" s="341" t="s">
        <v>229</v>
      </c>
      <c r="J64" s="341" t="s">
        <v>260</v>
      </c>
      <c r="K64" s="651"/>
    </row>
    <row r="65" spans="1:20" x14ac:dyDescent="0.2">
      <c r="A65" s="259" t="s">
        <v>178</v>
      </c>
      <c r="B65" s="148" t="s">
        <v>261</v>
      </c>
      <c r="C65" s="357">
        <f t="shared" ref="C65:C78" si="16">D47</f>
        <v>13.582577382689291</v>
      </c>
      <c r="D65" s="358">
        <f t="shared" ref="D65:D78" si="17">D47/C47-1</f>
        <v>6.446429310045243E-2</v>
      </c>
      <c r="E65" s="418">
        <f>E47</f>
        <v>13.88864671305946</v>
      </c>
      <c r="F65" s="388">
        <f t="shared" ref="F65:F78" si="18">E47/D47-1</f>
        <v>2.2533965516754462E-2</v>
      </c>
      <c r="G65" s="388">
        <f t="shared" ref="G65:G78" si="19">F47/E47-1</f>
        <v>1.4400251092278049E-2</v>
      </c>
      <c r="H65" s="388">
        <f t="shared" ref="H65:H78" si="20">G47/F47-1</f>
        <v>1.3486036229716669E-2</v>
      </c>
      <c r="I65" s="388">
        <f t="shared" ref="I65:I78" si="21">H47/G47-1</f>
        <v>1.5407622614458827E-2</v>
      </c>
      <c r="J65" s="389">
        <f t="shared" ref="J65:J78" si="22">I47/H47-1</f>
        <v>1.6553269056747366E-2</v>
      </c>
      <c r="K65" s="306">
        <f t="shared" ref="K65:K78" si="23">(I47/D47)^(1/5)-1</f>
        <v>1.6471214132206535E-2</v>
      </c>
      <c r="L65" s="152"/>
      <c r="M65" s="173"/>
      <c r="N65" s="173"/>
      <c r="O65" s="173"/>
      <c r="P65" s="173"/>
      <c r="Q65" s="173"/>
      <c r="R65" s="173"/>
      <c r="S65" s="173"/>
      <c r="T65" s="173"/>
    </row>
    <row r="66" spans="1:20" x14ac:dyDescent="0.2">
      <c r="A66" s="260"/>
      <c r="B66" s="148" t="s">
        <v>217</v>
      </c>
      <c r="C66" s="357">
        <f t="shared" si="16"/>
        <v>11.273927439555454</v>
      </c>
      <c r="D66" s="358">
        <f t="shared" si="17"/>
        <v>5.885936270085157E-2</v>
      </c>
      <c r="E66" s="418">
        <f>E48</f>
        <v>11.562681895352119</v>
      </c>
      <c r="F66" s="388">
        <f t="shared" si="18"/>
        <v>2.5612587746799642E-2</v>
      </c>
      <c r="G66" s="388">
        <f t="shared" si="19"/>
        <v>1.7297025189319859E-2</v>
      </c>
      <c r="H66" s="388">
        <f t="shared" si="20"/>
        <v>1.6152778906235232E-2</v>
      </c>
      <c r="I66" s="388">
        <f t="shared" si="21"/>
        <v>1.8405911068841485E-2</v>
      </c>
      <c r="J66" s="389">
        <f t="shared" si="22"/>
        <v>1.9716279622129962E-2</v>
      </c>
      <c r="K66" s="306">
        <f t="shared" si="23"/>
        <v>1.9431568309918212E-2</v>
      </c>
      <c r="L66" s="152"/>
      <c r="M66" s="173"/>
      <c r="N66" s="173"/>
      <c r="O66" s="173"/>
      <c r="P66" s="173"/>
      <c r="Q66" s="173"/>
      <c r="R66" s="173"/>
      <c r="S66" s="173"/>
      <c r="T66" s="173"/>
    </row>
    <row r="67" spans="1:20" ht="12.75" thickBot="1" x14ac:dyDescent="0.25">
      <c r="A67" s="260"/>
      <c r="B67" s="149" t="s">
        <v>179</v>
      </c>
      <c r="C67" s="357">
        <f t="shared" si="16"/>
        <v>16.191201649075175</v>
      </c>
      <c r="D67" s="358">
        <f t="shared" si="17"/>
        <v>4.0602703902939741E-2</v>
      </c>
      <c r="E67" s="418">
        <f>E49</f>
        <v>16.516835661443238</v>
      </c>
      <c r="F67" s="388">
        <f t="shared" si="18"/>
        <v>2.0111787835503936E-2</v>
      </c>
      <c r="G67" s="388">
        <f t="shared" si="19"/>
        <v>1.2108856932377066E-2</v>
      </c>
      <c r="H67" s="388">
        <f t="shared" si="20"/>
        <v>1.1365787392301208E-2</v>
      </c>
      <c r="I67" s="388">
        <f t="shared" si="21"/>
        <v>1.3012488226979313E-2</v>
      </c>
      <c r="J67" s="389">
        <f t="shared" si="22"/>
        <v>1.4013096449585039E-2</v>
      </c>
      <c r="K67" s="306">
        <f t="shared" si="23"/>
        <v>1.4117606192415089E-2</v>
      </c>
      <c r="L67" s="152"/>
      <c r="M67" s="173"/>
      <c r="N67" s="173"/>
      <c r="O67" s="173"/>
      <c r="P67" s="173"/>
      <c r="Q67" s="173"/>
      <c r="R67" s="173"/>
      <c r="S67" s="173"/>
      <c r="T67" s="173"/>
    </row>
    <row r="68" spans="1:20" ht="12.75" thickBot="1" x14ac:dyDescent="0.25">
      <c r="A68" s="261"/>
      <c r="B68" s="150" t="s">
        <v>180</v>
      </c>
      <c r="C68" s="359">
        <f t="shared" si="16"/>
        <v>14.61889961836102</v>
      </c>
      <c r="D68" s="360">
        <f t="shared" si="17"/>
        <v>4.5897319244505352E-2</v>
      </c>
      <c r="E68" s="419">
        <f>E87/E10</f>
        <v>14.940448365124961</v>
      </c>
      <c r="F68" s="391">
        <f t="shared" si="18"/>
        <v>2.1995413824449805E-2</v>
      </c>
      <c r="G68" s="392">
        <f t="shared" si="19"/>
        <v>1.3386479114432248E-2</v>
      </c>
      <c r="H68" s="392">
        <f t="shared" si="20"/>
        <v>1.2549166010014101E-2</v>
      </c>
      <c r="I68" s="392">
        <f t="shared" si="21"/>
        <v>1.435052613989285E-2</v>
      </c>
      <c r="J68" s="393">
        <f t="shared" si="22"/>
        <v>1.5433638591299426E-2</v>
      </c>
      <c r="K68" s="310">
        <f t="shared" si="23"/>
        <v>1.5537478165327467E-2</v>
      </c>
      <c r="L68" s="262"/>
      <c r="M68" s="173"/>
      <c r="N68" s="173"/>
      <c r="O68" s="173"/>
      <c r="P68" s="173"/>
      <c r="Q68" s="173"/>
      <c r="R68" s="173"/>
      <c r="S68" s="173"/>
      <c r="T68" s="173"/>
    </row>
    <row r="69" spans="1:20" x14ac:dyDescent="0.2">
      <c r="A69" s="259" t="s">
        <v>181</v>
      </c>
      <c r="B69" s="148" t="s">
        <v>263</v>
      </c>
      <c r="C69" s="357">
        <f t="shared" si="16"/>
        <v>14.478833796253602</v>
      </c>
      <c r="D69" s="358">
        <f t="shared" si="17"/>
        <v>5.4328331194379187E-2</v>
      </c>
      <c r="E69" s="418">
        <f>E51</f>
        <v>14.791625049725504</v>
      </c>
      <c r="F69" s="388">
        <f t="shared" si="18"/>
        <v>2.1603345813171471E-2</v>
      </c>
      <c r="G69" s="388">
        <f t="shared" si="19"/>
        <v>1.3521164802897001E-2</v>
      </c>
      <c r="H69" s="388">
        <f t="shared" si="20"/>
        <v>1.2673742797714826E-2</v>
      </c>
      <c r="I69" s="388">
        <f t="shared" si="21"/>
        <v>1.449120231064982E-2</v>
      </c>
      <c r="J69" s="389">
        <f t="shared" si="22"/>
        <v>1.5582771248172866E-2</v>
      </c>
      <c r="K69" s="306">
        <f t="shared" si="23"/>
        <v>1.5569519078188154E-2</v>
      </c>
      <c r="L69" s="152"/>
      <c r="M69" s="173"/>
      <c r="N69" s="173"/>
      <c r="O69" s="173"/>
      <c r="P69" s="173"/>
      <c r="Q69" s="173"/>
      <c r="R69" s="173"/>
      <c r="S69" s="173"/>
      <c r="T69" s="173"/>
    </row>
    <row r="70" spans="1:20" ht="12.75" thickBot="1" x14ac:dyDescent="0.25">
      <c r="A70" s="260"/>
      <c r="B70" s="149" t="s">
        <v>179</v>
      </c>
      <c r="C70" s="357">
        <f t="shared" si="16"/>
        <v>21.543385445551163</v>
      </c>
      <c r="D70" s="358">
        <f t="shared" si="17"/>
        <v>3.8099641967169529E-2</v>
      </c>
      <c r="E70" s="418">
        <f>E52</f>
        <v>21.909160836392797</v>
      </c>
      <c r="F70" s="388">
        <f t="shared" si="18"/>
        <v>1.6978547395259502E-2</v>
      </c>
      <c r="G70" s="388">
        <f t="shared" si="19"/>
        <v>9.1286015696130374E-3</v>
      </c>
      <c r="H70" s="388">
        <f t="shared" si="20"/>
        <v>8.5937228195132054E-3</v>
      </c>
      <c r="I70" s="388">
        <f t="shared" si="21"/>
        <v>9.865842110118983E-3</v>
      </c>
      <c r="J70" s="389">
        <f t="shared" si="22"/>
        <v>1.0657590739888478E-2</v>
      </c>
      <c r="K70" s="306">
        <f t="shared" si="23"/>
        <v>1.1040280807330438E-2</v>
      </c>
      <c r="L70" s="152"/>
      <c r="M70" s="173"/>
      <c r="N70" s="173"/>
      <c r="O70" s="173"/>
      <c r="P70" s="173"/>
      <c r="Q70" s="173"/>
      <c r="R70" s="173"/>
      <c r="S70" s="173"/>
      <c r="T70" s="173"/>
    </row>
    <row r="71" spans="1:20" ht="12.75" thickBot="1" x14ac:dyDescent="0.25">
      <c r="A71" s="261"/>
      <c r="B71" s="150" t="s">
        <v>180</v>
      </c>
      <c r="C71" s="359">
        <f t="shared" si="16"/>
        <v>20.48788284632581</v>
      </c>
      <c r="D71" s="360">
        <f t="shared" si="17"/>
        <v>3.7855801983151416E-2</v>
      </c>
      <c r="E71" s="419">
        <f>E90/E13</f>
        <v>20.845885176619248</v>
      </c>
      <c r="F71" s="391">
        <f t="shared" si="18"/>
        <v>1.7473856765909845E-2</v>
      </c>
      <c r="G71" s="392">
        <f t="shared" si="19"/>
        <v>9.5942195932423591E-3</v>
      </c>
      <c r="H71" s="392">
        <f t="shared" si="20"/>
        <v>9.027893025429945E-3</v>
      </c>
      <c r="I71" s="392">
        <f t="shared" si="21"/>
        <v>1.0359822450077161E-2</v>
      </c>
      <c r="J71" s="393">
        <f t="shared" si="22"/>
        <v>1.118574218795354E-2</v>
      </c>
      <c r="K71" s="310">
        <f t="shared" si="23"/>
        <v>1.1523689712560792E-2</v>
      </c>
      <c r="L71" s="152"/>
      <c r="M71" s="173"/>
      <c r="N71" s="173"/>
      <c r="O71" s="173"/>
      <c r="P71" s="173"/>
      <c r="Q71" s="173"/>
      <c r="R71" s="173"/>
      <c r="S71" s="173"/>
      <c r="T71" s="173"/>
    </row>
    <row r="72" spans="1:20" x14ac:dyDescent="0.2">
      <c r="A72" s="259" t="s">
        <v>183</v>
      </c>
      <c r="B72" s="148" t="str">
        <f>B69</f>
        <v xml:space="preserve">Cdd  </v>
      </c>
      <c r="C72" s="357">
        <f t="shared" si="16"/>
        <v>15.28884942180933</v>
      </c>
      <c r="D72" s="358">
        <f t="shared" si="17"/>
        <v>6.6995853359734125E-2</v>
      </c>
      <c r="E72" s="418">
        <f>E54</f>
        <v>15.607715792472899</v>
      </c>
      <c r="F72" s="388">
        <f t="shared" si="18"/>
        <v>2.0856139128998752E-2</v>
      </c>
      <c r="G72" s="388">
        <f t="shared" si="19"/>
        <v>1.2814174902931796E-2</v>
      </c>
      <c r="H72" s="388">
        <f t="shared" si="20"/>
        <v>1.2019446863440697E-2</v>
      </c>
      <c r="I72" s="388">
        <f t="shared" si="21"/>
        <v>1.3751963271126266E-2</v>
      </c>
      <c r="J72" s="389">
        <f t="shared" si="22"/>
        <v>1.4798631513285754E-2</v>
      </c>
      <c r="K72" s="306">
        <f t="shared" si="23"/>
        <v>1.4843211495066511E-2</v>
      </c>
      <c r="L72" s="152"/>
      <c r="M72" s="173"/>
      <c r="N72" s="173"/>
      <c r="O72" s="173"/>
      <c r="P72" s="173"/>
      <c r="Q72" s="173"/>
      <c r="R72" s="173"/>
      <c r="S72" s="173"/>
      <c r="T72" s="173"/>
    </row>
    <row r="73" spans="1:20" ht="12.75" thickBot="1" x14ac:dyDescent="0.25">
      <c r="A73" s="260"/>
      <c r="B73" s="149" t="s">
        <v>179</v>
      </c>
      <c r="C73" s="357">
        <f t="shared" si="16"/>
        <v>24.518125997888909</v>
      </c>
      <c r="D73" s="358">
        <f t="shared" si="17"/>
        <v>4.5684501384450238E-2</v>
      </c>
      <c r="E73" s="418">
        <f>E55</f>
        <v>24.906211942873078</v>
      </c>
      <c r="F73" s="388">
        <f t="shared" si="18"/>
        <v>1.5828532124257055E-2</v>
      </c>
      <c r="G73" s="388">
        <f t="shared" si="19"/>
        <v>8.0301251936156781E-3</v>
      </c>
      <c r="H73" s="388">
        <f t="shared" si="20"/>
        <v>7.567848165717983E-3</v>
      </c>
      <c r="I73" s="388">
        <f t="shared" si="21"/>
        <v>8.6969543304282748E-3</v>
      </c>
      <c r="J73" s="389">
        <f t="shared" si="22"/>
        <v>9.4057848609081507E-3</v>
      </c>
      <c r="K73" s="306">
        <f t="shared" si="23"/>
        <v>9.9013285463405154E-3</v>
      </c>
      <c r="L73" s="152"/>
      <c r="M73" s="173"/>
      <c r="N73" s="173"/>
      <c r="O73" s="173"/>
      <c r="P73" s="173"/>
      <c r="Q73" s="173"/>
      <c r="R73" s="173"/>
      <c r="S73" s="173"/>
      <c r="T73" s="173"/>
    </row>
    <row r="74" spans="1:20" ht="12.75" thickBot="1" x14ac:dyDescent="0.25">
      <c r="A74" s="261"/>
      <c r="B74" s="150" t="s">
        <v>180</v>
      </c>
      <c r="C74" s="359">
        <f t="shared" si="16"/>
        <v>23.350602082296678</v>
      </c>
      <c r="D74" s="360">
        <f t="shared" si="17"/>
        <v>4.3877351283924115E-2</v>
      </c>
      <c r="E74" s="419">
        <f>E93/E16</f>
        <v>23.72462553600301</v>
      </c>
      <c r="F74" s="391">
        <f t="shared" si="18"/>
        <v>1.6017722043659921E-2</v>
      </c>
      <c r="G74" s="392">
        <f t="shared" si="19"/>
        <v>8.4300592941495278E-3</v>
      </c>
      <c r="H74" s="392">
        <f t="shared" si="20"/>
        <v>7.941608102249198E-3</v>
      </c>
      <c r="I74" s="392">
        <f t="shared" si="21"/>
        <v>9.1230941849602676E-3</v>
      </c>
      <c r="J74" s="393">
        <f t="shared" si="22"/>
        <v>9.8624899588004578E-3</v>
      </c>
      <c r="K74" s="310">
        <f t="shared" si="23"/>
        <v>1.0270717317099498E-2</v>
      </c>
      <c r="L74" s="152"/>
      <c r="M74" s="173"/>
      <c r="N74" s="173"/>
      <c r="O74" s="173"/>
      <c r="P74" s="173"/>
      <c r="Q74" s="173"/>
      <c r="R74" s="173"/>
      <c r="S74" s="173"/>
      <c r="T74" s="173"/>
    </row>
    <row r="75" spans="1:20" x14ac:dyDescent="0.2">
      <c r="A75" s="259" t="s">
        <v>184</v>
      </c>
      <c r="B75" s="148" t="str">
        <f>B72</f>
        <v xml:space="preserve">Cdd  </v>
      </c>
      <c r="C75" s="357">
        <f t="shared" si="16"/>
        <v>9.8175685555789105</v>
      </c>
      <c r="D75" s="358">
        <f t="shared" si="17"/>
        <v>1.7879430771484905E-2</v>
      </c>
      <c r="E75" s="418">
        <f>E57</f>
        <v>10.095400319745751</v>
      </c>
      <c r="F75" s="388">
        <f t="shared" si="18"/>
        <v>2.8299447321807669E-2</v>
      </c>
      <c r="G75" s="388">
        <f t="shared" si="19"/>
        <v>1.9811002403621103E-2</v>
      </c>
      <c r="H75" s="388">
        <f t="shared" si="20"/>
        <v>1.8454843337718074E-2</v>
      </c>
      <c r="I75" s="388">
        <f t="shared" si="21"/>
        <v>2.0981554665653102E-2</v>
      </c>
      <c r="J75" s="389">
        <f t="shared" si="22"/>
        <v>2.2418591816443234E-2</v>
      </c>
      <c r="K75" s="306">
        <f t="shared" si="23"/>
        <v>2.1987400153877346E-2</v>
      </c>
      <c r="L75" s="152"/>
      <c r="M75" s="173"/>
      <c r="N75" s="173"/>
      <c r="O75" s="173"/>
      <c r="P75" s="173"/>
      <c r="Q75" s="173"/>
      <c r="R75" s="173"/>
      <c r="S75" s="173"/>
      <c r="T75" s="173"/>
    </row>
    <row r="76" spans="1:20" ht="12.75" thickBot="1" x14ac:dyDescent="0.25">
      <c r="A76" s="260"/>
      <c r="B76" s="149" t="s">
        <v>179</v>
      </c>
      <c r="C76" s="357">
        <f t="shared" si="16"/>
        <v>16.11618916668257</v>
      </c>
      <c r="D76" s="358">
        <f t="shared" si="17"/>
        <v>1.2128231613721008E-2</v>
      </c>
      <c r="E76" s="418">
        <f>E58</f>
        <v>16.406189166682569</v>
      </c>
      <c r="F76" s="388">
        <f t="shared" si="18"/>
        <v>1.7994328373827084E-2</v>
      </c>
      <c r="G76" s="388">
        <f t="shared" si="19"/>
        <v>1.2190521392143605E-2</v>
      </c>
      <c r="H76" s="388">
        <f t="shared" si="20"/>
        <v>1.1441517261600254E-2</v>
      </c>
      <c r="I76" s="388">
        <f t="shared" si="21"/>
        <v>1.3098209231675151E-2</v>
      </c>
      <c r="J76" s="389">
        <f t="shared" si="22"/>
        <v>1.4104215559022748E-2</v>
      </c>
      <c r="K76" s="306">
        <f t="shared" si="23"/>
        <v>1.3763165470644267E-2</v>
      </c>
      <c r="L76" s="152"/>
      <c r="M76" s="173"/>
      <c r="N76" s="173"/>
      <c r="O76" s="173"/>
      <c r="P76" s="173"/>
      <c r="Q76" s="173"/>
      <c r="R76" s="173"/>
      <c r="S76" s="173"/>
      <c r="T76" s="173"/>
    </row>
    <row r="77" spans="1:20" ht="12.75" thickBot="1" x14ac:dyDescent="0.25">
      <c r="A77" s="261"/>
      <c r="B77" s="150" t="s">
        <v>180</v>
      </c>
      <c r="C77" s="359">
        <f t="shared" si="16"/>
        <v>14.332450383081937</v>
      </c>
      <c r="D77" s="360">
        <f t="shared" si="17"/>
        <v>1.5160704259427948E-2</v>
      </c>
      <c r="E77" s="419">
        <f>E96/E19</f>
        <v>14.640938888642042</v>
      </c>
      <c r="F77" s="392">
        <f t="shared" si="18"/>
        <v>2.1523779766525086E-2</v>
      </c>
      <c r="G77" s="392">
        <f t="shared" si="19"/>
        <v>1.3660326125338296E-2</v>
      </c>
      <c r="H77" s="392">
        <f t="shared" si="20"/>
        <v>1.2802424524866796E-2</v>
      </c>
      <c r="I77" s="392">
        <f t="shared" si="21"/>
        <v>1.4636477576676299E-2</v>
      </c>
      <c r="J77" s="393">
        <f t="shared" si="22"/>
        <v>1.5736736062770262E-2</v>
      </c>
      <c r="K77" s="310">
        <f t="shared" si="23"/>
        <v>1.5667272924895892E-2</v>
      </c>
      <c r="L77" s="152"/>
      <c r="M77" s="173"/>
      <c r="N77" s="173"/>
      <c r="O77" s="173"/>
      <c r="P77" s="173"/>
      <c r="Q77" s="173"/>
      <c r="R77" s="173"/>
      <c r="S77" s="173"/>
      <c r="T77" s="173"/>
    </row>
    <row r="78" spans="1:20" ht="12.75" thickBot="1" x14ac:dyDescent="0.25">
      <c r="A78" s="673" t="s">
        <v>198</v>
      </c>
      <c r="B78" s="674"/>
      <c r="C78" s="361">
        <f t="shared" si="16"/>
        <v>17.616896072838035</v>
      </c>
      <c r="D78" s="362">
        <f t="shared" si="17"/>
        <v>3.7815054183223618E-2</v>
      </c>
      <c r="E78" s="420">
        <f>E97/E20</f>
        <v>17.95322279338432</v>
      </c>
      <c r="F78" s="421">
        <f t="shared" si="18"/>
        <v>1.9091145179929825E-2</v>
      </c>
      <c r="G78" s="421">
        <f t="shared" si="19"/>
        <v>1.1140061163486425E-2</v>
      </c>
      <c r="H78" s="421">
        <f t="shared" si="20"/>
        <v>1.0466461088619594E-2</v>
      </c>
      <c r="I78" s="421">
        <f t="shared" si="21"/>
        <v>1.1993530388746398E-2</v>
      </c>
      <c r="J78" s="422">
        <f t="shared" si="22"/>
        <v>1.292878950337939E-2</v>
      </c>
      <c r="K78" s="363">
        <f t="shared" si="23"/>
        <v>1.3119279327204802E-2</v>
      </c>
      <c r="L78" s="152"/>
      <c r="M78" s="173"/>
      <c r="N78" s="173"/>
      <c r="O78" s="173"/>
      <c r="P78" s="173"/>
      <c r="Q78" s="173"/>
      <c r="R78" s="173"/>
      <c r="S78" s="173"/>
      <c r="T78" s="173"/>
    </row>
    <row r="79" spans="1:20" ht="12.75" x14ac:dyDescent="0.2">
      <c r="A79" s="245"/>
      <c r="B79" s="258"/>
      <c r="C79" s="364"/>
      <c r="D79" s="364"/>
      <c r="E79" s="364"/>
      <c r="F79" s="364"/>
      <c r="G79" s="364"/>
      <c r="H79" s="364"/>
      <c r="I79" s="364"/>
      <c r="J79" s="112"/>
      <c r="K79" s="112"/>
      <c r="L79"/>
      <c r="M79"/>
    </row>
    <row r="80" spans="1:20" ht="12.75" x14ac:dyDescent="0.2">
      <c r="A80" s="153" t="s">
        <v>199</v>
      </c>
    </row>
    <row r="81" spans="1:17" ht="12.75" thickBot="1" x14ac:dyDescent="0.25">
      <c r="A81" s="229"/>
    </row>
    <row r="82" spans="1:17" ht="13.5" customHeight="1" thickTop="1" thickBot="1" x14ac:dyDescent="0.25">
      <c r="A82" s="652" t="s">
        <v>200</v>
      </c>
      <c r="B82" s="342"/>
      <c r="C82" s="343" t="s">
        <v>177</v>
      </c>
      <c r="D82" s="343" t="s">
        <v>177</v>
      </c>
      <c r="E82" s="654" t="s">
        <v>1</v>
      </c>
      <c r="F82" s="655"/>
      <c r="G82" s="655"/>
      <c r="H82" s="655"/>
      <c r="I82" s="656"/>
    </row>
    <row r="83" spans="1:17" ht="12.75" customHeight="1" thickBot="1" x14ac:dyDescent="0.25">
      <c r="A83" s="653"/>
      <c r="B83" s="344"/>
      <c r="C83" s="297">
        <v>2022</v>
      </c>
      <c r="D83" s="297">
        <f t="shared" ref="D83:I83" si="24">C83+1</f>
        <v>2023</v>
      </c>
      <c r="E83" s="297">
        <f t="shared" si="24"/>
        <v>2024</v>
      </c>
      <c r="F83" s="297">
        <f t="shared" si="24"/>
        <v>2025</v>
      </c>
      <c r="G83" s="297">
        <f t="shared" si="24"/>
        <v>2026</v>
      </c>
      <c r="H83" s="297">
        <f t="shared" si="24"/>
        <v>2027</v>
      </c>
      <c r="I83" s="297">
        <f t="shared" si="24"/>
        <v>2028</v>
      </c>
    </row>
    <row r="84" spans="1:17" ht="12" customHeight="1" x14ac:dyDescent="0.2">
      <c r="A84" s="664" t="s">
        <v>178</v>
      </c>
      <c r="B84" s="144" t="s">
        <v>261</v>
      </c>
      <c r="C84" s="404">
        <v>2309504.0508296844</v>
      </c>
      <c r="D84" s="404">
        <v>2462782.9750000001</v>
      </c>
      <c r="E84" s="412">
        <v>2533555.1735897935</v>
      </c>
      <c r="F84" s="412">
        <v>2635319.2297048797</v>
      </c>
      <c r="G84" s="412">
        <v>2696864.2874764698</v>
      </c>
      <c r="H84" s="412">
        <v>2791126.9175200379</v>
      </c>
      <c r="I84" s="412">
        <v>2916440.8080051504</v>
      </c>
      <c r="K84" s="145"/>
      <c r="L84" s="145"/>
      <c r="M84" s="145"/>
      <c r="N84" s="145"/>
      <c r="O84" s="145"/>
      <c r="P84" s="145"/>
      <c r="Q84" s="145"/>
    </row>
    <row r="85" spans="1:17" ht="12" customHeight="1" x14ac:dyDescent="0.2">
      <c r="A85" s="665"/>
      <c r="B85" s="144" t="s">
        <v>217</v>
      </c>
      <c r="C85" s="404">
        <v>1186955.3697622309</v>
      </c>
      <c r="D85" s="404">
        <v>1290692.0880000009</v>
      </c>
      <c r="E85" s="412">
        <v>1279166.007942135</v>
      </c>
      <c r="F85" s="412">
        <v>1268828.7448752378</v>
      </c>
      <c r="G85" s="412">
        <v>1291512.4153732571</v>
      </c>
      <c r="H85" s="412">
        <v>1295462.3604123541</v>
      </c>
      <c r="I85" s="412">
        <v>1279292.5557656055</v>
      </c>
      <c r="K85" s="145"/>
      <c r="L85" s="145"/>
      <c r="M85" s="145"/>
      <c r="N85" s="145"/>
      <c r="O85" s="145"/>
      <c r="P85" s="145"/>
      <c r="Q85" s="145"/>
    </row>
    <row r="86" spans="1:17" ht="12" customHeight="1" x14ac:dyDescent="0.2">
      <c r="A86" s="665"/>
      <c r="B86" s="144" t="s">
        <v>179</v>
      </c>
      <c r="C86" s="404">
        <v>5576339.809170654</v>
      </c>
      <c r="D86" s="404">
        <v>5878514.7939999998</v>
      </c>
      <c r="E86" s="412">
        <v>6103537.4846084081</v>
      </c>
      <c r="F86" s="412">
        <v>6268929.1784527302</v>
      </c>
      <c r="G86" s="412">
        <v>6432705.12348051</v>
      </c>
      <c r="H86" s="412">
        <v>6610139.2276185853</v>
      </c>
      <c r="I86" s="412">
        <v>6797809.7785858111</v>
      </c>
      <c r="K86" s="145"/>
      <c r="L86" s="145"/>
      <c r="M86" s="145"/>
      <c r="N86" s="145"/>
      <c r="O86" s="145"/>
      <c r="P86" s="145"/>
      <c r="Q86" s="145"/>
    </row>
    <row r="87" spans="1:17" ht="12.75" customHeight="1" thickBot="1" x14ac:dyDescent="0.25">
      <c r="A87" s="666"/>
      <c r="B87" s="146" t="s">
        <v>180</v>
      </c>
      <c r="C87" s="405">
        <v>9072799.2297625691</v>
      </c>
      <c r="D87" s="405">
        <v>9631989.8570000008</v>
      </c>
      <c r="E87" s="413">
        <v>9899276.6033739746</v>
      </c>
      <c r="F87" s="413">
        <v>10143019.616811818</v>
      </c>
      <c r="G87" s="413">
        <v>10384931.401096761</v>
      </c>
      <c r="H87" s="413">
        <v>10650274.758250743</v>
      </c>
      <c r="I87" s="413">
        <v>10932757.48843593</v>
      </c>
      <c r="K87" s="145"/>
      <c r="L87" s="145"/>
      <c r="M87" s="145"/>
      <c r="N87" s="145"/>
      <c r="O87" s="145"/>
      <c r="P87" s="145"/>
      <c r="Q87" s="145"/>
    </row>
    <row r="88" spans="1:17" x14ac:dyDescent="0.2">
      <c r="A88" s="664" t="s">
        <v>181</v>
      </c>
      <c r="B88" s="143" t="s">
        <v>182</v>
      </c>
      <c r="C88" s="406">
        <v>490591.68341010914</v>
      </c>
      <c r="D88" s="406">
        <v>531336.48199999996</v>
      </c>
      <c r="E88" s="412">
        <v>556490.39392478636</v>
      </c>
      <c r="F88" s="412">
        <v>584407.69907186273</v>
      </c>
      <c r="G88" s="412">
        <v>609982.48687979544</v>
      </c>
      <c r="H88" s="412">
        <v>627157.85760796897</v>
      </c>
      <c r="I88" s="412">
        <v>640651.36312407034</v>
      </c>
      <c r="K88" s="145"/>
      <c r="L88" s="145"/>
      <c r="M88" s="145"/>
      <c r="N88" s="145"/>
      <c r="O88" s="145"/>
      <c r="P88" s="145"/>
      <c r="Q88" s="145"/>
    </row>
    <row r="89" spans="1:17" x14ac:dyDescent="0.2">
      <c r="A89" s="667"/>
      <c r="B89" s="144" t="s">
        <v>179</v>
      </c>
      <c r="C89" s="404">
        <v>4295583.7990941955</v>
      </c>
      <c r="D89" s="404">
        <v>4500869.767</v>
      </c>
      <c r="E89" s="412">
        <v>4686703.5570810903</v>
      </c>
      <c r="F89" s="412">
        <v>4784531.7843640642</v>
      </c>
      <c r="G89" s="412">
        <v>4881166.9451763965</v>
      </c>
      <c r="H89" s="412">
        <v>4985389.7224080069</v>
      </c>
      <c r="I89" s="412">
        <v>5095185.4485867396</v>
      </c>
      <c r="K89" s="145"/>
      <c r="L89" s="145"/>
      <c r="M89" s="145"/>
      <c r="N89" s="145"/>
      <c r="O89" s="145"/>
      <c r="P89" s="145"/>
      <c r="Q89" s="145"/>
    </row>
    <row r="90" spans="1:17" ht="12.75" thickBot="1" x14ac:dyDescent="0.25">
      <c r="A90" s="668"/>
      <c r="B90" s="146" t="s">
        <v>180</v>
      </c>
      <c r="C90" s="405">
        <v>4786175.4825043045</v>
      </c>
      <c r="D90" s="405">
        <v>5032206.2489999998</v>
      </c>
      <c r="E90" s="413">
        <v>5243516.3992287284</v>
      </c>
      <c r="F90" s="413">
        <v>5374850.2232287796</v>
      </c>
      <c r="G90" s="413">
        <v>5501658.1888569137</v>
      </c>
      <c r="H90" s="413">
        <v>5623685.9132704446</v>
      </c>
      <c r="I90" s="413">
        <v>5745768.0246271528</v>
      </c>
      <c r="K90" s="145"/>
      <c r="L90" s="145"/>
      <c r="M90" s="145"/>
      <c r="N90" s="145"/>
      <c r="O90" s="145"/>
      <c r="P90" s="145"/>
      <c r="Q90" s="145"/>
    </row>
    <row r="91" spans="1:17" x14ac:dyDescent="0.2">
      <c r="A91" s="664" t="s">
        <v>183</v>
      </c>
      <c r="B91" s="143" t="str">
        <f>B88</f>
        <v>Cdd</v>
      </c>
      <c r="C91" s="406">
        <v>587648.38324136962</v>
      </c>
      <c r="D91" s="406">
        <v>673502.92700000003</v>
      </c>
      <c r="E91" s="412">
        <v>689926.23730113357</v>
      </c>
      <c r="F91" s="412">
        <v>725031.19518232043</v>
      </c>
      <c r="G91" s="412">
        <v>746215.26257129514</v>
      </c>
      <c r="H91" s="412">
        <v>761038.77921432361</v>
      </c>
      <c r="I91" s="412">
        <v>773814.37678200891</v>
      </c>
      <c r="K91" s="145"/>
      <c r="L91" s="145"/>
      <c r="M91" s="145"/>
      <c r="N91" s="145"/>
      <c r="O91" s="145"/>
      <c r="P91" s="145"/>
      <c r="Q91" s="145"/>
    </row>
    <row r="92" spans="1:17" x14ac:dyDescent="0.2">
      <c r="A92" s="667"/>
      <c r="B92" s="144" t="s">
        <v>179</v>
      </c>
      <c r="C92" s="404">
        <v>7072205.227185172</v>
      </c>
      <c r="D92" s="404">
        <v>7457884.2879999997</v>
      </c>
      <c r="E92" s="412">
        <v>7718440.2084431453</v>
      </c>
      <c r="F92" s="412">
        <v>7830454.6636290383</v>
      </c>
      <c r="G92" s="412">
        <v>7939424.085544874</v>
      </c>
      <c r="H92" s="412">
        <v>8058613.7453973135</v>
      </c>
      <c r="I92" s="412">
        <v>8185023.7957373066</v>
      </c>
      <c r="K92" s="145"/>
      <c r="L92" s="145"/>
      <c r="M92" s="145"/>
      <c r="N92" s="145"/>
      <c r="O92" s="145"/>
      <c r="P92" s="145"/>
      <c r="Q92" s="145"/>
    </row>
    <row r="93" spans="1:17" ht="12.75" thickBot="1" x14ac:dyDescent="0.25">
      <c r="A93" s="668"/>
      <c r="B93" s="146" t="s">
        <v>180</v>
      </c>
      <c r="C93" s="405">
        <v>7659853.6104265414</v>
      </c>
      <c r="D93" s="405">
        <v>8131387.2149999999</v>
      </c>
      <c r="E93" s="413">
        <v>8400993.8930423092</v>
      </c>
      <c r="F93" s="413">
        <v>8559244.552556349</v>
      </c>
      <c r="G93" s="413">
        <v>8693402.9132207558</v>
      </c>
      <c r="H93" s="413">
        <v>8827377.2638513837</v>
      </c>
      <c r="I93" s="413">
        <v>8964987.3644176908</v>
      </c>
      <c r="K93" s="145"/>
      <c r="L93" s="145"/>
      <c r="M93" s="145"/>
      <c r="N93" s="145"/>
      <c r="O93" s="145"/>
      <c r="P93" s="145"/>
      <c r="Q93" s="145"/>
    </row>
    <row r="94" spans="1:17" x14ac:dyDescent="0.2">
      <c r="A94" s="665" t="s">
        <v>184</v>
      </c>
      <c r="B94" s="144" t="str">
        <f>B91</f>
        <v>Cdd</v>
      </c>
      <c r="C94" s="404">
        <v>581573.70750277804</v>
      </c>
      <c r="D94" s="404">
        <v>615000.92599999998</v>
      </c>
      <c r="E94" s="412">
        <v>636396.58487391041</v>
      </c>
      <c r="F94" s="412">
        <v>647040.71037725278</v>
      </c>
      <c r="G94" s="412">
        <v>661168.34242070583</v>
      </c>
      <c r="H94" s="412">
        <v>675135.00253582234</v>
      </c>
      <c r="I94" s="412">
        <v>689684.39685928484</v>
      </c>
      <c r="K94" s="145"/>
      <c r="L94" s="145"/>
      <c r="M94" s="145"/>
      <c r="N94" s="145"/>
      <c r="O94" s="145"/>
      <c r="P94" s="145"/>
      <c r="Q94" s="145"/>
    </row>
    <row r="95" spans="1:17" x14ac:dyDescent="0.2">
      <c r="A95" s="667"/>
      <c r="B95" s="147" t="s">
        <v>179</v>
      </c>
      <c r="C95" s="404">
        <v>2369131.3178835008</v>
      </c>
      <c r="D95" s="404">
        <v>2555343.6630000002</v>
      </c>
      <c r="E95" s="412">
        <v>2676418.2090433934</v>
      </c>
      <c r="F95" s="412">
        <v>2775606.2251953646</v>
      </c>
      <c r="G95" s="412">
        <v>2874686.0142295421</v>
      </c>
      <c r="H95" s="412">
        <v>2980543.7016739459</v>
      </c>
      <c r="I95" s="412">
        <v>3091748.3513245997</v>
      </c>
      <c r="K95" s="145"/>
      <c r="L95" s="145"/>
      <c r="M95" s="145"/>
      <c r="N95" s="145"/>
      <c r="O95" s="145"/>
      <c r="P95" s="145"/>
      <c r="Q95" s="145"/>
    </row>
    <row r="96" spans="1:17" ht="12.75" thickBot="1" x14ac:dyDescent="0.25">
      <c r="A96" s="667"/>
      <c r="B96" s="240" t="s">
        <v>180</v>
      </c>
      <c r="C96" s="407">
        <v>2950705.025386279</v>
      </c>
      <c r="D96" s="407">
        <v>3170344.5890000002</v>
      </c>
      <c r="E96" s="414">
        <v>3311384.1711549237</v>
      </c>
      <c r="F96" s="414">
        <v>3413273.8994273404</v>
      </c>
      <c r="G96" s="414">
        <v>3520353.7421842031</v>
      </c>
      <c r="H96" s="414">
        <v>3633142.6457359036</v>
      </c>
      <c r="I96" s="414">
        <v>3751577.7603843422</v>
      </c>
      <c r="K96" s="145"/>
      <c r="L96" s="145"/>
      <c r="M96" s="145"/>
      <c r="N96" s="145"/>
      <c r="O96" s="145"/>
      <c r="P96" s="145"/>
      <c r="Q96" s="145"/>
    </row>
    <row r="97" spans="1:23" ht="13.5" thickBot="1" x14ac:dyDescent="0.25">
      <c r="A97" s="669" t="s">
        <v>201</v>
      </c>
      <c r="B97" s="670"/>
      <c r="C97" s="408">
        <v>24469533.348079693</v>
      </c>
      <c r="D97" s="409">
        <v>25965927.910000004</v>
      </c>
      <c r="E97" s="415">
        <v>26829239.735778835</v>
      </c>
      <c r="F97" s="415">
        <v>27467006.736176915</v>
      </c>
      <c r="G97" s="415">
        <v>28086954.61685314</v>
      </c>
      <c r="H97" s="415">
        <v>28735197.422253795</v>
      </c>
      <c r="I97" s="415">
        <v>29411679.776431512</v>
      </c>
      <c r="K97" s="145"/>
      <c r="L97" s="145"/>
      <c r="M97" s="145"/>
      <c r="N97" s="145"/>
      <c r="O97" s="145"/>
      <c r="P97" s="145"/>
      <c r="Q97" s="145"/>
    </row>
    <row r="98" spans="1:23" ht="12.75" x14ac:dyDescent="0.2">
      <c r="A98" s="167"/>
      <c r="B98" s="168" t="s">
        <v>214</v>
      </c>
      <c r="C98" s="410">
        <v>5156273.1947461721</v>
      </c>
      <c r="D98" s="410">
        <v>5573315.3980000019</v>
      </c>
      <c r="E98" s="416">
        <v>5695534.3976317588</v>
      </c>
      <c r="F98" s="416">
        <v>5860627.5792115536</v>
      </c>
      <c r="G98" s="416">
        <v>6005742.7947215233</v>
      </c>
      <c r="H98" s="416">
        <v>6149920.9172905069</v>
      </c>
      <c r="I98" s="416">
        <v>6299883.5005361196</v>
      </c>
      <c r="J98"/>
      <c r="K98" s="145"/>
      <c r="L98" s="145"/>
      <c r="M98" s="145"/>
      <c r="N98" s="145"/>
      <c r="O98" s="145"/>
      <c r="P98" s="145"/>
      <c r="Q98" s="145"/>
    </row>
    <row r="99" spans="1:23" ht="13.5" thickBot="1" x14ac:dyDescent="0.25">
      <c r="A99" s="169"/>
      <c r="B99" s="170" t="s">
        <v>215</v>
      </c>
      <c r="C99" s="411">
        <v>19313260.153333522</v>
      </c>
      <c r="D99" s="411">
        <v>20392612.511999998</v>
      </c>
      <c r="E99" s="417">
        <v>21185099.459176037</v>
      </c>
      <c r="F99" s="417">
        <v>21659521.851641193</v>
      </c>
      <c r="G99" s="417">
        <v>22127982.168431323</v>
      </c>
      <c r="H99" s="417">
        <v>22634686.397097852</v>
      </c>
      <c r="I99" s="417">
        <v>23169767.374234457</v>
      </c>
      <c r="J99"/>
      <c r="K99" s="145"/>
      <c r="L99" s="145"/>
      <c r="M99" s="145"/>
      <c r="N99" s="145"/>
      <c r="O99" s="145"/>
      <c r="P99" s="145"/>
      <c r="Q99" s="145"/>
    </row>
    <row r="100" spans="1:23" ht="13.5" thickBot="1" x14ac:dyDescent="0.25">
      <c r="A100" s="245"/>
      <c r="B100" s="246"/>
      <c r="C100" s="247"/>
      <c r="D100" s="247"/>
      <c r="E100" s="247"/>
      <c r="F100" s="247"/>
      <c r="G100" s="247"/>
      <c r="H100" s="247"/>
      <c r="I100" s="247"/>
    </row>
    <row r="101" spans="1:23" ht="17.25" customHeight="1" thickTop="1" thickBot="1" x14ac:dyDescent="0.25">
      <c r="A101" s="159" t="s">
        <v>202</v>
      </c>
      <c r="B101" s="160"/>
      <c r="C101" s="671" t="s">
        <v>177</v>
      </c>
      <c r="D101" s="672"/>
      <c r="E101" s="647" t="s">
        <v>1</v>
      </c>
      <c r="F101" s="648"/>
      <c r="G101" s="648"/>
      <c r="H101" s="648"/>
      <c r="I101" s="648"/>
      <c r="J101" s="649"/>
      <c r="K101" s="662" t="s">
        <v>187</v>
      </c>
      <c r="L101" s="662" t="str">
        <f>L24</f>
        <v>Contribution moyenne</v>
      </c>
    </row>
    <row r="102" spans="1:23" ht="13.5" thickTop="1" thickBot="1" x14ac:dyDescent="0.25">
      <c r="A102" s="157" t="s">
        <v>203</v>
      </c>
      <c r="B102" s="158"/>
      <c r="C102" s="365">
        <v>2023</v>
      </c>
      <c r="D102" s="365" t="s">
        <v>191</v>
      </c>
      <c r="E102" s="341">
        <v>2024</v>
      </c>
      <c r="F102" s="341" t="s">
        <v>192</v>
      </c>
      <c r="G102" s="341" t="s">
        <v>216</v>
      </c>
      <c r="H102" s="341" t="s">
        <v>229</v>
      </c>
      <c r="I102" s="341" t="s">
        <v>260</v>
      </c>
      <c r="J102" s="341" t="s">
        <v>268</v>
      </c>
      <c r="K102" s="663"/>
      <c r="L102" s="663"/>
    </row>
    <row r="103" spans="1:23" x14ac:dyDescent="0.2">
      <c r="A103" s="259" t="s">
        <v>178</v>
      </c>
      <c r="B103" s="148" t="str">
        <f>B84</f>
        <v>Tode</v>
      </c>
      <c r="C103" s="366">
        <f>D84</f>
        <v>2462782.9750000001</v>
      </c>
      <c r="D103" s="367">
        <f t="shared" ref="D103:D118" si="25">D84/C84-1</f>
        <v>6.6368761776040452E-2</v>
      </c>
      <c r="E103" s="387">
        <f>E84</f>
        <v>2533555.1735897935</v>
      </c>
      <c r="F103" s="388">
        <f t="shared" ref="F103:F118" si="26">E84/D84-1</f>
        <v>2.8736676884731693E-2</v>
      </c>
      <c r="G103" s="388">
        <f t="shared" ref="G103:G118" si="27">F84/E84-1</f>
        <v>4.0166504829218574E-2</v>
      </c>
      <c r="H103" s="388">
        <f t="shared" ref="H103:H118" si="28">G84/F84-1</f>
        <v>2.3353928843938387E-2</v>
      </c>
      <c r="I103" s="388">
        <f t="shared" ref="I103:I118" si="29">H84/G84-1</f>
        <v>3.4952678368466383E-2</v>
      </c>
      <c r="J103" s="389">
        <f t="shared" ref="J103:J118" si="30">I84/H84-1</f>
        <v>4.4897238351474078E-2</v>
      </c>
      <c r="K103" s="368">
        <f t="shared" ref="K103:K118" si="31">(I84/D84)^(1/5)-1</f>
        <v>3.4392599494931453E-2</v>
      </c>
      <c r="L103" s="369">
        <f t="shared" ref="L103:L117" si="32">(C103/$C$116)*K103*100</f>
        <v>0.32620250967226366</v>
      </c>
      <c r="M103" s="145"/>
      <c r="N103" s="145"/>
      <c r="O103" s="145"/>
      <c r="P103" s="145"/>
      <c r="Q103" s="145"/>
      <c r="R103" s="145"/>
      <c r="S103" s="145"/>
      <c r="T103" s="145"/>
      <c r="U103" s="145"/>
      <c r="V103" s="145"/>
      <c r="W103" s="145"/>
    </row>
    <row r="104" spans="1:23" x14ac:dyDescent="0.2">
      <c r="A104" s="260"/>
      <c r="B104" s="148" t="s">
        <v>262</v>
      </c>
      <c r="C104" s="366">
        <f>D85</f>
        <v>1290692.0880000009</v>
      </c>
      <c r="D104" s="367">
        <f t="shared" si="25"/>
        <v>8.7397319967093878E-2</v>
      </c>
      <c r="E104" s="387">
        <f>E85</f>
        <v>1279166.007942135</v>
      </c>
      <c r="F104" s="388">
        <f t="shared" si="26"/>
        <v>-8.9301547325095765E-3</v>
      </c>
      <c r="G104" s="388">
        <f t="shared" si="27"/>
        <v>-8.0812521617324995E-3</v>
      </c>
      <c r="H104" s="388">
        <f t="shared" si="28"/>
        <v>1.7877645497580419E-2</v>
      </c>
      <c r="I104" s="388">
        <f t="shared" si="29"/>
        <v>3.0583871994411815E-3</v>
      </c>
      <c r="J104" s="389">
        <f t="shared" si="30"/>
        <v>-1.2481879165984866E-2</v>
      </c>
      <c r="K104" s="368">
        <f t="shared" si="31"/>
        <v>-1.7726954160810493E-3</v>
      </c>
      <c r="L104" s="369">
        <f t="shared" si="32"/>
        <v>-8.8115624286568377E-3</v>
      </c>
      <c r="M104" s="145"/>
      <c r="N104" s="145"/>
      <c r="O104" s="145"/>
      <c r="P104" s="145"/>
      <c r="Q104" s="145"/>
      <c r="R104" s="145"/>
      <c r="S104" s="145"/>
      <c r="T104" s="145"/>
      <c r="U104" s="145"/>
      <c r="V104" s="145"/>
      <c r="W104" s="145"/>
    </row>
    <row r="105" spans="1:23" ht="12.75" thickBot="1" x14ac:dyDescent="0.25">
      <c r="A105" s="260"/>
      <c r="B105" s="149" t="s">
        <v>179</v>
      </c>
      <c r="C105" s="366">
        <f>D86</f>
        <v>5878514.7939999998</v>
      </c>
      <c r="D105" s="367">
        <f t="shared" si="25"/>
        <v>5.4188768111369301E-2</v>
      </c>
      <c r="E105" s="387">
        <f>E86</f>
        <v>6103537.4846084081</v>
      </c>
      <c r="F105" s="388">
        <f t="shared" si="26"/>
        <v>3.8278833769046727E-2</v>
      </c>
      <c r="G105" s="388">
        <f t="shared" si="27"/>
        <v>2.7097678069709419E-2</v>
      </c>
      <c r="H105" s="388">
        <f t="shared" si="28"/>
        <v>2.6125027156264968E-2</v>
      </c>
      <c r="I105" s="388">
        <f t="shared" si="29"/>
        <v>2.7583124165043715E-2</v>
      </c>
      <c r="J105" s="389">
        <f t="shared" si="30"/>
        <v>2.8391315901955316E-2</v>
      </c>
      <c r="K105" s="368">
        <f t="shared" si="31"/>
        <v>2.9485605124224934E-2</v>
      </c>
      <c r="L105" s="369">
        <f t="shared" si="32"/>
        <v>0.66753464976710875</v>
      </c>
      <c r="M105" s="145"/>
      <c r="N105" s="145"/>
      <c r="O105" s="145"/>
      <c r="P105" s="145"/>
      <c r="Q105" s="145"/>
      <c r="R105" s="145"/>
      <c r="S105" s="145"/>
      <c r="T105" s="145"/>
      <c r="U105" s="145"/>
      <c r="V105" s="145"/>
      <c r="W105" s="145"/>
    </row>
    <row r="106" spans="1:23" ht="12.75" thickBot="1" x14ac:dyDescent="0.25">
      <c r="A106" s="261"/>
      <c r="B106" s="150" t="s">
        <v>180</v>
      </c>
      <c r="C106" s="370">
        <f>SUM(C103:C105)</f>
        <v>9631989.8570000008</v>
      </c>
      <c r="D106" s="371">
        <f t="shared" si="25"/>
        <v>6.1633748645407271E-2</v>
      </c>
      <c r="E106" s="390">
        <f>SUM(E103:E105)</f>
        <v>9916258.6661403365</v>
      </c>
      <c r="F106" s="391">
        <f t="shared" si="26"/>
        <v>2.7749899069892114E-2</v>
      </c>
      <c r="G106" s="392">
        <f t="shared" si="27"/>
        <v>2.4622305568749114E-2</v>
      </c>
      <c r="H106" s="392">
        <f t="shared" si="28"/>
        <v>2.3850075561717476E-2</v>
      </c>
      <c r="I106" s="392">
        <f t="shared" si="29"/>
        <v>2.5550804998669463E-2</v>
      </c>
      <c r="J106" s="393">
        <f t="shared" si="30"/>
        <v>2.6523515739943493E-2</v>
      </c>
      <c r="K106" s="372">
        <f t="shared" si="31"/>
        <v>2.565839628233535E-2</v>
      </c>
      <c r="L106" s="373">
        <f t="shared" si="32"/>
        <v>0.95179118418164244</v>
      </c>
      <c r="M106" s="145"/>
      <c r="N106" s="145"/>
      <c r="O106" s="145"/>
      <c r="P106" s="145"/>
      <c r="Q106" s="145"/>
      <c r="R106" s="145"/>
      <c r="S106" s="145"/>
      <c r="T106" s="145"/>
      <c r="U106" s="145"/>
      <c r="V106" s="145"/>
      <c r="W106" s="145"/>
    </row>
    <row r="107" spans="1:23" x14ac:dyDescent="0.2">
      <c r="A107" s="657" t="s">
        <v>181</v>
      </c>
      <c r="B107" s="148" t="s">
        <v>262</v>
      </c>
      <c r="C107" s="366">
        <f>D88</f>
        <v>531336.48199999996</v>
      </c>
      <c r="D107" s="367">
        <f t="shared" si="25"/>
        <v>8.3052363029624043E-2</v>
      </c>
      <c r="E107" s="387">
        <f>E88</f>
        <v>556490.39392478636</v>
      </c>
      <c r="F107" s="388">
        <f t="shared" si="26"/>
        <v>4.7340833496139378E-2</v>
      </c>
      <c r="G107" s="388">
        <f t="shared" si="27"/>
        <v>5.016673324795895E-2</v>
      </c>
      <c r="H107" s="388">
        <f t="shared" si="28"/>
        <v>4.376189404853803E-2</v>
      </c>
      <c r="I107" s="388">
        <f t="shared" si="29"/>
        <v>2.8157153848841876E-2</v>
      </c>
      <c r="J107" s="389">
        <f t="shared" si="30"/>
        <v>2.1515325611269009E-2</v>
      </c>
      <c r="K107" s="368">
        <f t="shared" si="31"/>
        <v>3.8126849963177945E-2</v>
      </c>
      <c r="L107" s="369">
        <f t="shared" si="32"/>
        <v>7.8018341572052813E-2</v>
      </c>
      <c r="M107" s="145"/>
      <c r="N107" s="145"/>
      <c r="O107" s="145"/>
      <c r="P107" s="145"/>
      <c r="Q107" s="145"/>
      <c r="R107" s="145"/>
      <c r="S107" s="145"/>
      <c r="T107" s="145"/>
      <c r="U107" s="145"/>
      <c r="V107" s="145"/>
      <c r="W107" s="145"/>
    </row>
    <row r="108" spans="1:23" ht="12.75" thickBot="1" x14ac:dyDescent="0.25">
      <c r="A108" s="658"/>
      <c r="B108" s="149" t="s">
        <v>179</v>
      </c>
      <c r="C108" s="374">
        <f>D89</f>
        <v>4500869.767</v>
      </c>
      <c r="D108" s="367">
        <f t="shared" si="25"/>
        <v>4.7790004224592897E-2</v>
      </c>
      <c r="E108" s="394">
        <f>E89</f>
        <v>4686703.5570810903</v>
      </c>
      <c r="F108" s="388">
        <f t="shared" si="26"/>
        <v>4.1288417506235797E-2</v>
      </c>
      <c r="G108" s="388">
        <f t="shared" si="27"/>
        <v>2.087356840292709E-2</v>
      </c>
      <c r="H108" s="388">
        <f t="shared" si="28"/>
        <v>2.0197412237523027E-2</v>
      </c>
      <c r="I108" s="388">
        <f t="shared" si="29"/>
        <v>2.1352020613555123E-2</v>
      </c>
      <c r="J108" s="389">
        <f t="shared" si="30"/>
        <v>2.2023499122893142E-2</v>
      </c>
      <c r="K108" s="368">
        <f t="shared" si="31"/>
        <v>2.5115286502211065E-2</v>
      </c>
      <c r="L108" s="369">
        <f t="shared" si="32"/>
        <v>0.43534216878038368</v>
      </c>
      <c r="M108" s="145"/>
      <c r="N108" s="145"/>
      <c r="O108" s="145"/>
      <c r="P108" s="145"/>
      <c r="Q108" s="145"/>
      <c r="R108" s="145"/>
      <c r="S108" s="145"/>
      <c r="T108" s="145"/>
      <c r="U108" s="145"/>
      <c r="V108" s="145"/>
      <c r="W108" s="145"/>
    </row>
    <row r="109" spans="1:23" ht="12.75" thickBot="1" x14ac:dyDescent="0.25">
      <c r="A109" s="659"/>
      <c r="B109" s="150" t="s">
        <v>180</v>
      </c>
      <c r="C109" s="375">
        <f>C107+C108</f>
        <v>5032206.2489999998</v>
      </c>
      <c r="D109" s="371">
        <f t="shared" si="25"/>
        <v>5.1404460073612546E-2</v>
      </c>
      <c r="E109" s="390">
        <f>E107+E108</f>
        <v>5243193.951005877</v>
      </c>
      <c r="F109" s="391">
        <f t="shared" si="26"/>
        <v>4.1991551970017138E-2</v>
      </c>
      <c r="G109" s="392">
        <f t="shared" si="27"/>
        <v>2.5046898684129015E-2</v>
      </c>
      <c r="H109" s="392">
        <f t="shared" si="28"/>
        <v>2.3592837076668927E-2</v>
      </c>
      <c r="I109" s="392">
        <f t="shared" si="29"/>
        <v>2.2180171909023105E-2</v>
      </c>
      <c r="J109" s="393">
        <f t="shared" si="30"/>
        <v>2.1708557917259563E-2</v>
      </c>
      <c r="K109" s="372">
        <f t="shared" si="31"/>
        <v>2.6875828283695169E-2</v>
      </c>
      <c r="L109" s="373">
        <f t="shared" si="32"/>
        <v>0.52085452715200797</v>
      </c>
      <c r="M109" s="145"/>
      <c r="N109" s="145"/>
      <c r="O109" s="145"/>
      <c r="P109" s="145"/>
      <c r="Q109" s="145"/>
      <c r="R109" s="145"/>
      <c r="S109" s="145"/>
      <c r="T109" s="145"/>
      <c r="U109" s="145"/>
      <c r="V109" s="145"/>
      <c r="W109" s="145"/>
    </row>
    <row r="110" spans="1:23" x14ac:dyDescent="0.2">
      <c r="A110" s="657" t="s">
        <v>183</v>
      </c>
      <c r="B110" s="148" t="s">
        <v>262</v>
      </c>
      <c r="C110" s="366">
        <f>D91</f>
        <v>673502.92700000003</v>
      </c>
      <c r="D110" s="367">
        <f t="shared" si="25"/>
        <v>0.146098493941345</v>
      </c>
      <c r="E110" s="387">
        <f>E91</f>
        <v>689926.23730113357</v>
      </c>
      <c r="F110" s="388">
        <f t="shared" si="26"/>
        <v>2.4384913031170186E-2</v>
      </c>
      <c r="G110" s="388">
        <f t="shared" si="27"/>
        <v>5.0882189983832316E-2</v>
      </c>
      <c r="H110" s="388">
        <f t="shared" si="28"/>
        <v>2.9218146101489761E-2</v>
      </c>
      <c r="I110" s="388">
        <f t="shared" si="29"/>
        <v>1.9864933600995949E-2</v>
      </c>
      <c r="J110" s="389">
        <f t="shared" si="30"/>
        <v>1.678705200919528E-2</v>
      </c>
      <c r="K110" s="368">
        <f t="shared" si="31"/>
        <v>2.8157058443946115E-2</v>
      </c>
      <c r="L110" s="369">
        <f t="shared" si="32"/>
        <v>7.3033636015004136E-2</v>
      </c>
      <c r="M110" s="145"/>
      <c r="N110" s="145"/>
      <c r="O110" s="145"/>
      <c r="P110" s="145"/>
      <c r="Q110" s="145"/>
      <c r="R110" s="145"/>
      <c r="S110" s="145"/>
      <c r="T110" s="145"/>
      <c r="U110" s="145"/>
      <c r="V110" s="145"/>
      <c r="W110" s="145"/>
    </row>
    <row r="111" spans="1:23" ht="12.75" thickBot="1" x14ac:dyDescent="0.25">
      <c r="A111" s="658"/>
      <c r="B111" s="149" t="s">
        <v>179</v>
      </c>
      <c r="C111" s="374">
        <f>D92</f>
        <v>7457884.2879999997</v>
      </c>
      <c r="D111" s="367">
        <f t="shared" si="25"/>
        <v>5.4534483718359672E-2</v>
      </c>
      <c r="E111" s="394">
        <f>E92</f>
        <v>7718440.2084431453</v>
      </c>
      <c r="F111" s="388">
        <f t="shared" si="26"/>
        <v>3.4936975472037002E-2</v>
      </c>
      <c r="G111" s="388">
        <f t="shared" si="27"/>
        <v>1.4512576655495879E-2</v>
      </c>
      <c r="H111" s="388">
        <f t="shared" si="28"/>
        <v>1.3916104057402734E-2</v>
      </c>
      <c r="I111" s="388">
        <f t="shared" si="29"/>
        <v>1.5012381070491632E-2</v>
      </c>
      <c r="J111" s="389">
        <f t="shared" si="30"/>
        <v>1.5686326995408173E-2</v>
      </c>
      <c r="K111" s="368">
        <f t="shared" si="31"/>
        <v>1.8781056803625962E-2</v>
      </c>
      <c r="L111" s="369">
        <f t="shared" si="32"/>
        <v>0.53942593129458305</v>
      </c>
      <c r="M111" s="145"/>
      <c r="N111" s="145"/>
      <c r="O111" s="145"/>
      <c r="P111" s="145"/>
      <c r="Q111" s="145"/>
      <c r="R111" s="145"/>
      <c r="S111" s="145"/>
      <c r="T111" s="145"/>
      <c r="U111" s="145"/>
      <c r="V111" s="145"/>
      <c r="W111" s="145"/>
    </row>
    <row r="112" spans="1:23" ht="12.75" thickBot="1" x14ac:dyDescent="0.25">
      <c r="A112" s="659"/>
      <c r="B112" s="150" t="s">
        <v>180</v>
      </c>
      <c r="C112" s="375">
        <f>C110+C111</f>
        <v>8131387.2149999999</v>
      </c>
      <c r="D112" s="371">
        <f t="shared" si="25"/>
        <v>6.1559088274429907E-2</v>
      </c>
      <c r="E112" s="390">
        <f>E110+E111</f>
        <v>8408366.4457442798</v>
      </c>
      <c r="F112" s="391">
        <f t="shared" si="26"/>
        <v>3.3156295588158136E-2</v>
      </c>
      <c r="G112" s="392">
        <f t="shared" si="27"/>
        <v>1.8837135406693184E-2</v>
      </c>
      <c r="H112" s="392">
        <f t="shared" si="28"/>
        <v>1.5674088973697931E-2</v>
      </c>
      <c r="I112" s="392">
        <f t="shared" si="29"/>
        <v>1.5411036617994922E-2</v>
      </c>
      <c r="J112" s="393">
        <f t="shared" si="30"/>
        <v>1.5589013186264156E-2</v>
      </c>
      <c r="K112" s="372">
        <f t="shared" si="31"/>
        <v>1.9710773702495743E-2</v>
      </c>
      <c r="L112" s="373">
        <f t="shared" si="32"/>
        <v>0.61725478803515654</v>
      </c>
      <c r="M112" s="145"/>
      <c r="N112" s="145"/>
      <c r="O112" s="145"/>
      <c r="P112" s="145"/>
      <c r="Q112" s="145"/>
      <c r="R112" s="145"/>
      <c r="S112" s="145"/>
      <c r="T112" s="145"/>
      <c r="U112" s="145"/>
      <c r="V112" s="145"/>
      <c r="W112" s="145"/>
    </row>
    <row r="113" spans="1:23" x14ac:dyDescent="0.2">
      <c r="A113" s="657" t="s">
        <v>184</v>
      </c>
      <c r="B113" s="148" t="str">
        <f>B107</f>
        <v xml:space="preserve">Cdd </v>
      </c>
      <c r="C113" s="366">
        <f>D94</f>
        <v>615000.92599999998</v>
      </c>
      <c r="D113" s="367">
        <f t="shared" si="25"/>
        <v>5.7477183142881749E-2</v>
      </c>
      <c r="E113" s="387">
        <f>E94</f>
        <v>636396.58487391041</v>
      </c>
      <c r="F113" s="388">
        <f t="shared" si="26"/>
        <v>3.4789636843425509E-2</v>
      </c>
      <c r="G113" s="388">
        <f t="shared" si="27"/>
        <v>1.6725616944426758E-2</v>
      </c>
      <c r="H113" s="388">
        <f t="shared" si="28"/>
        <v>2.1834224364670973E-2</v>
      </c>
      <c r="I113" s="388">
        <f t="shared" si="29"/>
        <v>2.1124211821729189E-2</v>
      </c>
      <c r="J113" s="389">
        <f t="shared" si="30"/>
        <v>2.155034810640033E-2</v>
      </c>
      <c r="K113" s="368">
        <f t="shared" si="31"/>
        <v>2.3186794090754637E-2</v>
      </c>
      <c r="L113" s="369">
        <f t="shared" si="32"/>
        <v>5.4917736374418775E-2</v>
      </c>
      <c r="M113" s="145"/>
      <c r="N113" s="145"/>
      <c r="O113" s="145"/>
      <c r="P113" s="145"/>
      <c r="Q113" s="145"/>
      <c r="R113" s="145"/>
      <c r="S113" s="145"/>
      <c r="T113" s="145"/>
      <c r="U113" s="145"/>
      <c r="V113" s="145"/>
      <c r="W113" s="145"/>
    </row>
    <row r="114" spans="1:23" ht="12.75" thickBot="1" x14ac:dyDescent="0.25">
      <c r="A114" s="658"/>
      <c r="B114" s="149" t="s">
        <v>179</v>
      </c>
      <c r="C114" s="374">
        <f>D95</f>
        <v>2555343.6630000002</v>
      </c>
      <c r="D114" s="367">
        <f t="shared" si="25"/>
        <v>7.8599418998375636E-2</v>
      </c>
      <c r="E114" s="394">
        <f>E95</f>
        <v>2676418.2090433934</v>
      </c>
      <c r="F114" s="388">
        <f t="shared" si="26"/>
        <v>4.7380924842512329E-2</v>
      </c>
      <c r="G114" s="388">
        <f t="shared" si="27"/>
        <v>3.7059984055116235E-2</v>
      </c>
      <c r="H114" s="388">
        <f t="shared" si="28"/>
        <v>3.5696630211730973E-2</v>
      </c>
      <c r="I114" s="388">
        <f t="shared" si="29"/>
        <v>3.6824086846498627E-2</v>
      </c>
      <c r="J114" s="389">
        <f t="shared" si="30"/>
        <v>3.7310189274593952E-2</v>
      </c>
      <c r="K114" s="368">
        <f t="shared" si="31"/>
        <v>3.884550369440154E-2</v>
      </c>
      <c r="L114" s="369">
        <f t="shared" si="32"/>
        <v>0.3822840918513975</v>
      </c>
      <c r="M114" s="145"/>
      <c r="N114" s="145"/>
      <c r="O114" s="145"/>
      <c r="P114" s="145"/>
      <c r="Q114" s="145"/>
      <c r="R114" s="145"/>
      <c r="S114" s="145"/>
      <c r="T114" s="145"/>
      <c r="U114" s="145"/>
      <c r="V114" s="145"/>
      <c r="W114" s="145"/>
    </row>
    <row r="115" spans="1:23" ht="12.75" thickBot="1" x14ac:dyDescent="0.25">
      <c r="A115" s="659"/>
      <c r="B115" s="150" t="s">
        <v>180</v>
      </c>
      <c r="C115" s="375">
        <f>C113+C114</f>
        <v>3170344.5890000002</v>
      </c>
      <c r="D115" s="371">
        <f t="shared" si="25"/>
        <v>7.4436299706023057E-2</v>
      </c>
      <c r="E115" s="395">
        <f>E113+E114</f>
        <v>3312814.7939173039</v>
      </c>
      <c r="F115" s="391">
        <f t="shared" si="26"/>
        <v>4.4487145859248844E-2</v>
      </c>
      <c r="G115" s="392">
        <f t="shared" si="27"/>
        <v>3.0769528090387688E-2</v>
      </c>
      <c r="H115" s="392">
        <f t="shared" si="28"/>
        <v>3.1371593933562814E-2</v>
      </c>
      <c r="I115" s="392">
        <f t="shared" si="29"/>
        <v>3.2039082379749839E-2</v>
      </c>
      <c r="J115" s="393">
        <f t="shared" si="30"/>
        <v>3.2598531408460252E-2</v>
      </c>
      <c r="K115" s="372">
        <f t="shared" si="31"/>
        <v>3.4240396137115381E-2</v>
      </c>
      <c r="L115" s="373">
        <f t="shared" si="32"/>
        <v>0.41806268196837276</v>
      </c>
      <c r="M115" s="145"/>
      <c r="N115" s="145"/>
      <c r="O115" s="145"/>
      <c r="P115" s="145"/>
      <c r="Q115" s="145"/>
      <c r="R115" s="145"/>
      <c r="S115" s="145"/>
      <c r="T115" s="145"/>
      <c r="U115" s="145"/>
      <c r="V115" s="145"/>
      <c r="W115" s="145"/>
    </row>
    <row r="116" spans="1:23" ht="13.5" customHeight="1" thickBot="1" x14ac:dyDescent="0.25">
      <c r="A116" s="660" t="s">
        <v>201</v>
      </c>
      <c r="B116" s="661"/>
      <c r="C116" s="376">
        <f>C106+C109+C112+C115</f>
        <v>25965927.910000004</v>
      </c>
      <c r="D116" s="377">
        <f t="shared" si="25"/>
        <v>6.1153375531689314E-2</v>
      </c>
      <c r="E116" s="396">
        <f>E106+E109+E112+E115</f>
        <v>26880633.856807798</v>
      </c>
      <c r="F116" s="397">
        <f t="shared" si="26"/>
        <v>3.3247871162977116E-2</v>
      </c>
      <c r="G116" s="397">
        <f t="shared" si="27"/>
        <v>2.3771340771448379E-2</v>
      </c>
      <c r="H116" s="397">
        <f t="shared" si="28"/>
        <v>2.2570638534838539E-2</v>
      </c>
      <c r="I116" s="397">
        <f t="shared" si="29"/>
        <v>2.3079853769966352E-2</v>
      </c>
      <c r="J116" s="398">
        <f t="shared" si="30"/>
        <v>2.3541942108037173E-2</v>
      </c>
      <c r="K116" s="378">
        <f t="shared" si="31"/>
        <v>2.5234462802359969E-2</v>
      </c>
      <c r="L116" s="373">
        <f t="shared" si="32"/>
        <v>2.5234462802359969</v>
      </c>
      <c r="M116" s="145"/>
      <c r="N116" s="145"/>
      <c r="O116" s="145"/>
      <c r="P116" s="145"/>
      <c r="Q116" s="145"/>
      <c r="R116" s="145"/>
      <c r="S116" s="145"/>
      <c r="T116" s="145"/>
      <c r="U116" s="145"/>
      <c r="V116" s="145"/>
      <c r="W116" s="145"/>
    </row>
    <row r="117" spans="1:23" ht="12.75" thickBot="1" x14ac:dyDescent="0.25">
      <c r="A117" s="167"/>
      <c r="B117" s="174" t="s">
        <v>214</v>
      </c>
      <c r="C117" s="379">
        <f>D98</f>
        <v>5573315.3980000019</v>
      </c>
      <c r="D117" s="380">
        <f t="shared" si="25"/>
        <v>8.0880548315159562E-2</v>
      </c>
      <c r="E117" s="387">
        <f>E98</f>
        <v>5695534.3976317588</v>
      </c>
      <c r="F117" s="399">
        <f t="shared" si="26"/>
        <v>2.1929316915316743E-2</v>
      </c>
      <c r="G117" s="399">
        <f t="shared" si="27"/>
        <v>2.8986425162920826E-2</v>
      </c>
      <c r="H117" s="399">
        <f t="shared" si="28"/>
        <v>2.4761036859723529E-2</v>
      </c>
      <c r="I117" s="399">
        <f t="shared" si="29"/>
        <v>2.4006709494069911E-2</v>
      </c>
      <c r="J117" s="400">
        <f t="shared" si="30"/>
        <v>2.4384473436722232E-2</v>
      </c>
      <c r="K117" s="381">
        <f t="shared" si="31"/>
        <v>2.4811002788420078E-2</v>
      </c>
      <c r="L117" s="382">
        <f t="shared" si="32"/>
        <v>0.53254227755622918</v>
      </c>
      <c r="M117" s="145"/>
      <c r="N117" s="145"/>
      <c r="O117" s="145"/>
      <c r="P117" s="145"/>
      <c r="Q117" s="145"/>
      <c r="R117" s="145"/>
      <c r="S117" s="145"/>
      <c r="T117" s="145"/>
      <c r="U117" s="145"/>
      <c r="V117" s="145"/>
      <c r="W117" s="145"/>
    </row>
    <row r="118" spans="1:23" ht="12.75" thickBot="1" x14ac:dyDescent="0.25">
      <c r="A118" s="169"/>
      <c r="B118" s="172" t="s">
        <v>215</v>
      </c>
      <c r="C118" s="383">
        <f>D99</f>
        <v>20392612.511999998</v>
      </c>
      <c r="D118" s="384">
        <f t="shared" si="25"/>
        <v>5.5886595535771244E-2</v>
      </c>
      <c r="E118" s="401">
        <f>E99</f>
        <v>21185099.459176037</v>
      </c>
      <c r="F118" s="402">
        <f t="shared" si="26"/>
        <v>3.8861472344933867E-2</v>
      </c>
      <c r="G118" s="402">
        <f t="shared" si="27"/>
        <v>2.2394154598111449E-2</v>
      </c>
      <c r="H118" s="402">
        <f t="shared" si="28"/>
        <v>2.1628377579103075E-2</v>
      </c>
      <c r="I118" s="402">
        <f t="shared" si="29"/>
        <v>2.2898799574658568E-2</v>
      </c>
      <c r="J118" s="403">
        <f t="shared" si="30"/>
        <v>2.3639867049592089E-2</v>
      </c>
      <c r="K118" s="385">
        <f t="shared" si="31"/>
        <v>2.5863932940695555E-2</v>
      </c>
      <c r="L118" s="386">
        <f>(C118/$C$116)*K118*100</f>
        <v>2.0312509698250834</v>
      </c>
      <c r="M118" s="145"/>
      <c r="N118" s="145"/>
      <c r="O118" s="145"/>
      <c r="P118" s="145"/>
      <c r="Q118" s="145"/>
      <c r="R118" s="145"/>
      <c r="S118" s="145"/>
      <c r="T118" s="145"/>
      <c r="U118" s="145"/>
      <c r="V118" s="145"/>
      <c r="W118" s="145"/>
    </row>
    <row r="121" spans="1:23" x14ac:dyDescent="0.2">
      <c r="E121" s="263"/>
    </row>
  </sheetData>
  <mergeCells count="32">
    <mergeCell ref="L101:L102"/>
    <mergeCell ref="A107:A109"/>
    <mergeCell ref="A110:A112"/>
    <mergeCell ref="K63:K64"/>
    <mergeCell ref="A78:B78"/>
    <mergeCell ref="A113:A115"/>
    <mergeCell ref="A116:B116"/>
    <mergeCell ref="E101:J101"/>
    <mergeCell ref="K101:K102"/>
    <mergeCell ref="K24:K25"/>
    <mergeCell ref="A84:A87"/>
    <mergeCell ref="A88:A90"/>
    <mergeCell ref="A91:A93"/>
    <mergeCell ref="A94:A96"/>
    <mergeCell ref="A97:B97"/>
    <mergeCell ref="C101:D101"/>
    <mergeCell ref="L24:L25"/>
    <mergeCell ref="A45:A46"/>
    <mergeCell ref="E45:I45"/>
    <mergeCell ref="A57:A59"/>
    <mergeCell ref="E82:I82"/>
    <mergeCell ref="C63:D63"/>
    <mergeCell ref="E63:J63"/>
    <mergeCell ref="A54:A56"/>
    <mergeCell ref="A82:A83"/>
    <mergeCell ref="A5:B6"/>
    <mergeCell ref="E5:I5"/>
    <mergeCell ref="A20:B20"/>
    <mergeCell ref="A47:A50"/>
    <mergeCell ref="A51:A53"/>
    <mergeCell ref="C24:D24"/>
    <mergeCell ref="E24:J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B26FA-C7B4-4980-9A63-F0829F31B6D0}">
  <sheetPr>
    <tabColor rgb="FF002060"/>
  </sheetPr>
  <dimension ref="A25:D35"/>
  <sheetViews>
    <sheetView showGridLines="0" zoomScale="90" zoomScaleNormal="90" workbookViewId="0">
      <selection activeCell="B41" sqref="B41"/>
    </sheetView>
  </sheetViews>
  <sheetFormatPr baseColWidth="10" defaultRowHeight="12.75" x14ac:dyDescent="0.2"/>
  <cols>
    <col min="1" max="1" width="24.7109375" bestFit="1" customWidth="1"/>
    <col min="2" max="2" width="21.28515625" customWidth="1"/>
  </cols>
  <sheetData>
    <row r="25" spans="1:4" x14ac:dyDescent="0.2">
      <c r="A25" s="536" t="s">
        <v>285</v>
      </c>
      <c r="B25" s="536" t="s">
        <v>279</v>
      </c>
      <c r="C25" s="536" t="s">
        <v>286</v>
      </c>
      <c r="D25" s="536" t="s">
        <v>279</v>
      </c>
    </row>
    <row r="26" spans="1:4" x14ac:dyDescent="0.2">
      <c r="A26" s="535" t="s">
        <v>24</v>
      </c>
      <c r="B26" s="535" t="s">
        <v>204</v>
      </c>
      <c r="C26" s="535" t="s">
        <v>174</v>
      </c>
      <c r="D26" s="535" t="s">
        <v>209</v>
      </c>
    </row>
    <row r="27" spans="1:4" ht="22.5" x14ac:dyDescent="0.2">
      <c r="A27" s="535" t="s">
        <v>25</v>
      </c>
      <c r="B27" s="535" t="s">
        <v>205</v>
      </c>
      <c r="C27" s="535" t="s">
        <v>157</v>
      </c>
      <c r="D27" s="535" t="s">
        <v>205</v>
      </c>
    </row>
    <row r="28" spans="1:4" ht="22.5" x14ac:dyDescent="0.2">
      <c r="A28" s="535" t="s">
        <v>208</v>
      </c>
      <c r="B28" s="535" t="s">
        <v>207</v>
      </c>
      <c r="C28" s="535" t="s">
        <v>158</v>
      </c>
      <c r="D28" s="535" t="s">
        <v>206</v>
      </c>
    </row>
    <row r="29" spans="1:4" x14ac:dyDescent="0.2">
      <c r="A29" s="535" t="s">
        <v>159</v>
      </c>
      <c r="B29" s="535" t="s">
        <v>209</v>
      </c>
      <c r="C29" s="535" t="s">
        <v>160</v>
      </c>
      <c r="D29" s="535" t="s">
        <v>207</v>
      </c>
    </row>
    <row r="30" spans="1:4" x14ac:dyDescent="0.2">
      <c r="A30" s="535" t="s">
        <v>171</v>
      </c>
      <c r="B30" s="535" t="s">
        <v>226</v>
      </c>
      <c r="C30" s="535" t="s">
        <v>161</v>
      </c>
      <c r="D30" s="535" t="s">
        <v>209</v>
      </c>
    </row>
    <row r="31" spans="1:4" x14ac:dyDescent="0.2">
      <c r="A31" s="535" t="s">
        <v>162</v>
      </c>
      <c r="B31" s="535" t="s">
        <v>209</v>
      </c>
      <c r="C31" s="535" t="s">
        <v>164</v>
      </c>
      <c r="D31" s="535" t="s">
        <v>209</v>
      </c>
    </row>
    <row r="32" spans="1:4" ht="22.5" x14ac:dyDescent="0.2">
      <c r="A32" s="535" t="s">
        <v>172</v>
      </c>
      <c r="B32" s="535" t="s">
        <v>207</v>
      </c>
      <c r="C32" s="535" t="s">
        <v>165</v>
      </c>
      <c r="D32" s="535" t="s">
        <v>206</v>
      </c>
    </row>
    <row r="33" spans="1:4" x14ac:dyDescent="0.2">
      <c r="A33" s="535" t="s">
        <v>166</v>
      </c>
      <c r="B33" s="535" t="s">
        <v>207</v>
      </c>
      <c r="C33" s="535" t="s">
        <v>250</v>
      </c>
      <c r="D33" s="535" t="s">
        <v>11</v>
      </c>
    </row>
    <row r="34" spans="1:4" x14ac:dyDescent="0.2">
      <c r="A34" s="535" t="s">
        <v>168</v>
      </c>
      <c r="B34" s="535" t="s">
        <v>210</v>
      </c>
      <c r="C34" s="535" t="s">
        <v>167</v>
      </c>
      <c r="D34" s="535" t="s">
        <v>210</v>
      </c>
    </row>
    <row r="35" spans="1:4" x14ac:dyDescent="0.2">
      <c r="A35" s="535"/>
      <c r="B35" s="535"/>
      <c r="C35" s="535" t="s">
        <v>211</v>
      </c>
      <c r="D35" s="535" t="s">
        <v>210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O18"/>
  <sheetViews>
    <sheetView zoomScaleNormal="100" workbookViewId="0">
      <pane xSplit="1" topLeftCell="B1" activePane="topRight" state="frozen"/>
      <selection pane="topRight"/>
    </sheetView>
  </sheetViews>
  <sheetFormatPr baseColWidth="10" defaultRowHeight="12.75" x14ac:dyDescent="0.2"/>
  <cols>
    <col min="1" max="1" width="25.7109375" bestFit="1" customWidth="1"/>
    <col min="2" max="2" width="18.28515625" bestFit="1" customWidth="1"/>
    <col min="3" max="3" width="9.5703125" customWidth="1"/>
    <col min="4" max="6" width="9.5703125" bestFit="1" customWidth="1"/>
    <col min="7" max="8" width="11.140625" customWidth="1"/>
    <col min="9" max="10" width="9.28515625" customWidth="1"/>
  </cols>
  <sheetData>
    <row r="1" spans="1:15" x14ac:dyDescent="0.2">
      <c r="A1" s="546" t="str">
        <f>A9</f>
        <v>Tableau 1</v>
      </c>
      <c r="B1" s="547">
        <v>2021</v>
      </c>
      <c r="C1" s="547">
        <f t="shared" ref="C1:I1" si="0">B1+1</f>
        <v>2022</v>
      </c>
      <c r="D1" s="547">
        <f t="shared" si="0"/>
        <v>2023</v>
      </c>
      <c r="E1" s="547">
        <f t="shared" si="0"/>
        <v>2024</v>
      </c>
      <c r="F1" s="547">
        <f t="shared" si="0"/>
        <v>2025</v>
      </c>
      <c r="G1" s="547">
        <f t="shared" si="0"/>
        <v>2026</v>
      </c>
      <c r="H1" s="547">
        <f t="shared" si="0"/>
        <v>2027</v>
      </c>
      <c r="I1" s="547">
        <f t="shared" si="0"/>
        <v>2028</v>
      </c>
    </row>
    <row r="2" spans="1:15" x14ac:dyDescent="0.2">
      <c r="A2" s="548" t="s">
        <v>31</v>
      </c>
      <c r="B2" s="549">
        <f>[1]Effectifs!$L$10</f>
        <v>1934245</v>
      </c>
      <c r="C2" s="549">
        <f>[1]Effectifs!$N$10</f>
        <v>1942318</v>
      </c>
      <c r="D2" s="549">
        <f>[1]Effectifs!$P$10</f>
        <v>1945441</v>
      </c>
      <c r="E2" s="549">
        <f>[1]Effectifs!$R$10</f>
        <v>1947386</v>
      </c>
      <c r="F2" s="549">
        <f>[1]Effectifs!$T$10</f>
        <v>1948360</v>
      </c>
      <c r="G2" s="549">
        <f>[1]Effectifs!$V$10</f>
        <v>1948555</v>
      </c>
      <c r="H2" s="549">
        <f>[1]Effectifs!$X$10</f>
        <v>1948749</v>
      </c>
      <c r="I2" s="549">
        <f>[1]Effectifs!$Z$10</f>
        <v>1948944</v>
      </c>
      <c r="K2" s="184" t="s">
        <v>110</v>
      </c>
      <c r="L2" s="184"/>
      <c r="M2" s="184"/>
      <c r="N2" s="184"/>
      <c r="O2" s="184"/>
    </row>
    <row r="3" spans="1:15" ht="22.5" x14ac:dyDescent="0.2">
      <c r="A3" s="550" t="s">
        <v>112</v>
      </c>
      <c r="B3" s="551">
        <f>'[2]Famille SA - Tableau 1'!$B$12</f>
        <v>153728</v>
      </c>
      <c r="C3" s="551">
        <f>'[3]Famille SA - 1'!$B$15</f>
        <v>151837</v>
      </c>
      <c r="D3" s="551">
        <f>'[3]Famille SA - 1'!$C$15</f>
        <v>148998</v>
      </c>
      <c r="E3" s="551">
        <f>'[3]Famille SA - 1'!$D$15</f>
        <v>147506</v>
      </c>
      <c r="F3" s="551">
        <f>'[3]Famille SA - 1'!$E$15</f>
        <v>145491</v>
      </c>
      <c r="G3" s="551">
        <f>'[3]Famille SA - 1'!$F$15</f>
        <v>143433</v>
      </c>
      <c r="H3" s="551">
        <f>'[3]Famille SA - 1'!$G$15</f>
        <v>141625</v>
      </c>
      <c r="I3" s="551">
        <f>'[3]Famille SA - 1'!$H$15</f>
        <v>139717</v>
      </c>
      <c r="K3" s="184" t="s">
        <v>111</v>
      </c>
      <c r="L3" s="184"/>
      <c r="M3" s="184"/>
      <c r="N3" s="184"/>
      <c r="O3" s="184"/>
    </row>
    <row r="4" spans="1:15" ht="22.5" x14ac:dyDescent="0.2">
      <c r="A4" s="552" t="s">
        <v>148</v>
      </c>
      <c r="B4" s="553">
        <f>[1]Effectifs!$L$16</f>
        <v>2335989</v>
      </c>
      <c r="C4" s="553">
        <f>[1]Effectifs!$N$16</f>
        <v>2288162</v>
      </c>
      <c r="D4" s="553">
        <f>[1]Effectifs!$P$16</f>
        <v>2243317</v>
      </c>
      <c r="E4" s="553">
        <f>[1]Effectifs!$R$16</f>
        <v>2205079</v>
      </c>
      <c r="F4" s="553">
        <f>[1]Effectifs!$T$16</f>
        <v>2164882</v>
      </c>
      <c r="G4" s="553">
        <f>[1]Effectifs!$V$16</f>
        <v>2128496</v>
      </c>
      <c r="H4" s="553">
        <f>[1]Effectifs!$X$16</f>
        <v>2097895</v>
      </c>
      <c r="I4" s="553">
        <f>[1]Effectifs!$Z$16</f>
        <v>2059684</v>
      </c>
    </row>
    <row r="5" spans="1:15" ht="22.5" x14ac:dyDescent="0.2">
      <c r="A5" s="552" t="s">
        <v>96</v>
      </c>
      <c r="B5" s="549">
        <f>[1]Effectifs!$L$20</f>
        <v>29893</v>
      </c>
      <c r="C5" s="549">
        <f>[1]Effectifs!$N$20</f>
        <v>29805</v>
      </c>
      <c r="D5" s="549">
        <f>[1]Effectifs!$P$20</f>
        <v>30268</v>
      </c>
      <c r="E5" s="549">
        <f>[1]Effectifs!$R$20</f>
        <v>30906.316060266898</v>
      </c>
      <c r="F5" s="549">
        <f>[1]Effectifs!$T$20</f>
        <v>31654.501407941276</v>
      </c>
      <c r="G5" s="549">
        <f>[1]Effectifs!$V$20</f>
        <v>32507.749455594239</v>
      </c>
      <c r="H5" s="549">
        <f>[1]Effectifs!$X$20</f>
        <v>33462.178792348612</v>
      </c>
      <c r="I5" s="549">
        <f>[1]Effectifs!$Z$20</f>
        <v>34514.739885195646</v>
      </c>
    </row>
    <row r="6" spans="1:15" x14ac:dyDescent="0.2">
      <c r="A6" s="554" t="s">
        <v>121</v>
      </c>
      <c r="B6" s="549">
        <f>[1]Effectifs!$L$22</f>
        <v>714686</v>
      </c>
      <c r="C6" s="549">
        <f>[1]Effectifs!$N$22</f>
        <v>743655</v>
      </c>
      <c r="D6" s="549">
        <f>[1]Effectifs!$P$22</f>
        <v>754895</v>
      </c>
      <c r="E6" s="549">
        <f>[1]Effectifs!$R$22</f>
        <v>767478</v>
      </c>
      <c r="F6" s="549">
        <f>[1]Effectifs!$T$22</f>
        <v>774863</v>
      </c>
      <c r="G6" s="549">
        <f>[1]Effectifs!$V$22</f>
        <v>782415</v>
      </c>
      <c r="H6" s="549">
        <f>[1]Effectifs!$X$22</f>
        <v>790138</v>
      </c>
      <c r="I6" s="549">
        <f>[1]Effectifs!$Z$22</f>
        <v>797937.23157659289</v>
      </c>
    </row>
    <row r="7" spans="1:15" x14ac:dyDescent="0.2">
      <c r="C7" s="112"/>
      <c r="D7" s="112"/>
      <c r="H7" s="112"/>
      <c r="I7" s="112"/>
    </row>
    <row r="9" spans="1:15" x14ac:dyDescent="0.2">
      <c r="A9" s="587" t="s">
        <v>24</v>
      </c>
      <c r="B9" s="587" t="s">
        <v>1</v>
      </c>
      <c r="C9" s="587"/>
      <c r="D9" s="587"/>
      <c r="E9" s="587"/>
      <c r="F9" s="587"/>
      <c r="G9" s="587"/>
      <c r="H9" s="587"/>
      <c r="I9" s="588" t="s">
        <v>104</v>
      </c>
    </row>
    <row r="10" spans="1:15" x14ac:dyDescent="0.2">
      <c r="A10" s="587"/>
      <c r="B10" s="547" t="s">
        <v>147</v>
      </c>
      <c r="C10" s="547" t="s">
        <v>151</v>
      </c>
      <c r="D10" s="547" t="s">
        <v>170</v>
      </c>
      <c r="E10" s="547" t="s">
        <v>212</v>
      </c>
      <c r="F10" s="547" t="s">
        <v>227</v>
      </c>
      <c r="G10" s="547" t="s">
        <v>252</v>
      </c>
      <c r="H10" s="547" t="s">
        <v>270</v>
      </c>
      <c r="I10" s="588"/>
    </row>
    <row r="11" spans="1:15" x14ac:dyDescent="0.2">
      <c r="A11" s="555" t="s">
        <v>31</v>
      </c>
      <c r="B11" s="556">
        <f>C2/B2-1</f>
        <v>4.1737215295891694E-3</v>
      </c>
      <c r="C11" s="557">
        <f t="shared" ref="B11:F13" si="1">D2/C2-1</f>
        <v>1.6078726552499756E-3</v>
      </c>
      <c r="D11" s="557">
        <f t="shared" si="1"/>
        <v>9.9977331617862042E-4</v>
      </c>
      <c r="E11" s="557">
        <f t="shared" si="1"/>
        <v>5.0015764722566303E-4</v>
      </c>
      <c r="F11" s="557">
        <f>G2/F2-1</f>
        <v>1.0008417335605202E-4</v>
      </c>
      <c r="G11" s="557">
        <f>H2/G2-1</f>
        <v>9.9560956708932835E-5</v>
      </c>
      <c r="H11" s="557">
        <f>I2/H2-1</f>
        <v>1.0006419502972541E-4</v>
      </c>
      <c r="I11" s="557">
        <f>((I2/D2)^(1/5))-1</f>
        <v>3.598649040104096E-4</v>
      </c>
      <c r="J11" s="113" t="s">
        <v>113</v>
      </c>
    </row>
    <row r="12" spans="1:15" ht="22.5" x14ac:dyDescent="0.2">
      <c r="A12" s="558" t="str">
        <f>A3</f>
        <v>Familles bénéficiaires de prestations familiales dans l'année</v>
      </c>
      <c r="B12" s="556">
        <f t="shared" si="1"/>
        <v>-1.2300947127393824E-2</v>
      </c>
      <c r="C12" s="557">
        <f t="shared" si="1"/>
        <v>-1.8697682383081893E-2</v>
      </c>
      <c r="D12" s="557">
        <f t="shared" si="1"/>
        <v>-1.0013557228956138E-2</v>
      </c>
      <c r="E12" s="557">
        <f t="shared" si="1"/>
        <v>-1.3660461269372148E-2</v>
      </c>
      <c r="F12" s="557">
        <f t="shared" si="1"/>
        <v>-1.4145204858032501E-2</v>
      </c>
      <c r="G12" s="557">
        <f t="shared" ref="G12:H15" si="2">H3/G3-1</f>
        <v>-1.2605188485216079E-2</v>
      </c>
      <c r="H12" s="557">
        <f t="shared" si="2"/>
        <v>-1.3472197705207467E-2</v>
      </c>
      <c r="I12" s="557">
        <f>((I3/D3)^(1/5))-1</f>
        <v>-1.2780414880737445E-2</v>
      </c>
      <c r="J12" s="113" t="s">
        <v>114</v>
      </c>
    </row>
    <row r="13" spans="1:15" ht="22.5" x14ac:dyDescent="0.2">
      <c r="A13" s="559" t="str">
        <f>A4</f>
        <v>Bénéficiaires de pensions vieillesse</v>
      </c>
      <c r="B13" s="560">
        <f t="shared" si="1"/>
        <v>-2.047398339632589E-2</v>
      </c>
      <c r="C13" s="561">
        <f t="shared" si="1"/>
        <v>-1.959869974241335E-2</v>
      </c>
      <c r="D13" s="561">
        <f t="shared" si="1"/>
        <v>-1.7045294980602366E-2</v>
      </c>
      <c r="E13" s="561">
        <f t="shared" si="1"/>
        <v>-1.8229278860303899E-2</v>
      </c>
      <c r="F13" s="561">
        <f t="shared" si="1"/>
        <v>-1.6807382573276519E-2</v>
      </c>
      <c r="G13" s="561">
        <f t="shared" si="2"/>
        <v>-1.4376818185235063E-2</v>
      </c>
      <c r="H13" s="561">
        <f t="shared" si="2"/>
        <v>-1.8213971623937342E-2</v>
      </c>
      <c r="I13" s="557">
        <f>((I4/D4)^(1/5))-1</f>
        <v>-1.6935553779498402E-2</v>
      </c>
      <c r="J13" s="113" t="s">
        <v>115</v>
      </c>
    </row>
    <row r="14" spans="1:15" ht="22.5" x14ac:dyDescent="0.2">
      <c r="A14" s="562" t="str">
        <f>A5</f>
        <v>Bénéficiaires de pensions d'invalidité</v>
      </c>
      <c r="B14" s="563">
        <f t="shared" ref="B14:F15" si="3">C5/B5-1</f>
        <v>-2.9438330043822791E-3</v>
      </c>
      <c r="C14" s="564">
        <f t="shared" si="3"/>
        <v>1.5534306324442193E-2</v>
      </c>
      <c r="D14" s="564">
        <f t="shared" si="3"/>
        <v>2.1088808651608781E-2</v>
      </c>
      <c r="E14" s="564">
        <f t="shared" si="3"/>
        <v>2.4208169819250669E-2</v>
      </c>
      <c r="F14" s="564">
        <f t="shared" si="3"/>
        <v>2.6955030397000757E-2</v>
      </c>
      <c r="G14" s="564">
        <f t="shared" si="2"/>
        <v>2.9360055763261173E-2</v>
      </c>
      <c r="H14" s="564">
        <f t="shared" si="2"/>
        <v>3.1455246813985482E-2</v>
      </c>
      <c r="I14" s="564">
        <f>((I5/D5)^(1/5))-1</f>
        <v>2.660689288071838E-2</v>
      </c>
    </row>
    <row r="15" spans="1:15" ht="22.5" x14ac:dyDescent="0.2">
      <c r="A15" s="565" t="str">
        <f>A6</f>
        <v>Actifs cotisants vieillesse au 1er juillet</v>
      </c>
      <c r="B15" s="556">
        <f t="shared" si="3"/>
        <v>4.0533884810951992E-2</v>
      </c>
      <c r="C15" s="557">
        <f t="shared" si="3"/>
        <v>1.5114535638165449E-2</v>
      </c>
      <c r="D15" s="557">
        <f t="shared" si="3"/>
        <v>1.6668543307347461E-2</v>
      </c>
      <c r="E15" s="557">
        <f t="shared" si="3"/>
        <v>9.6224256591068702E-3</v>
      </c>
      <c r="F15" s="557">
        <f t="shared" si="3"/>
        <v>9.7462390125737652E-3</v>
      </c>
      <c r="G15" s="557">
        <f t="shared" si="2"/>
        <v>9.8707207811710163E-3</v>
      </c>
      <c r="H15" s="557">
        <f t="shared" si="2"/>
        <v>9.8707207811710163E-3</v>
      </c>
      <c r="I15" s="557">
        <f>((I6/D6)^(1/5))-1</f>
        <v>1.1151978929074158E-2</v>
      </c>
      <c r="J15" s="113" t="s">
        <v>116</v>
      </c>
    </row>
    <row r="18" spans="8:9" x14ac:dyDescent="0.2">
      <c r="H18" s="121"/>
      <c r="I18" s="121"/>
    </row>
  </sheetData>
  <mergeCells count="3">
    <mergeCell ref="A9:A10"/>
    <mergeCell ref="B9:H9"/>
    <mergeCell ref="I9:I10"/>
  </mergeCells>
  <phoneticPr fontId="4" type="noConversion"/>
  <pageMargins left="0.78740157499999996" right="0.78740157499999996" top="0.984251969" bottom="0.984251969" header="0.4921259845" footer="0.4921259845"/>
  <pageSetup paperSize="9" orientation="portrait" horizontalDpi="4294967295" verticalDpi="4294967295"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S70"/>
  <sheetViews>
    <sheetView zoomScaleNormal="100" workbookViewId="0"/>
  </sheetViews>
  <sheetFormatPr baseColWidth="10" defaultRowHeight="12.75" x14ac:dyDescent="0.2"/>
  <cols>
    <col min="1" max="1" width="7" customWidth="1"/>
    <col min="2" max="2" width="26.140625" customWidth="1"/>
    <col min="3" max="3" width="12.5703125" bestFit="1" customWidth="1"/>
    <col min="4" max="4" width="12.42578125" bestFit="1" customWidth="1"/>
    <col min="5" max="5" width="13" bestFit="1" customWidth="1"/>
    <col min="6" max="9" width="12.42578125" bestFit="1" customWidth="1"/>
    <col min="10" max="10" width="2.5703125" style="106" customWidth="1"/>
    <col min="11" max="11" width="27" bestFit="1" customWidth="1"/>
    <col min="12" max="12" width="12.42578125" hidden="1" customWidth="1"/>
    <col min="13" max="13" width="12.42578125" bestFit="1" customWidth="1"/>
  </cols>
  <sheetData>
    <row r="1" spans="1:19" x14ac:dyDescent="0.2">
      <c r="A1" s="27"/>
      <c r="B1" s="123"/>
    </row>
    <row r="3" spans="1:19" ht="14.25" x14ac:dyDescent="0.2">
      <c r="A3" s="590" t="s">
        <v>32</v>
      </c>
      <c r="B3" s="591"/>
      <c r="C3" s="514" t="s">
        <v>23</v>
      </c>
      <c r="D3" s="514" t="s">
        <v>23</v>
      </c>
      <c r="E3" s="592" t="s">
        <v>1</v>
      </c>
      <c r="F3" s="593"/>
      <c r="G3" s="593"/>
      <c r="H3" s="593"/>
      <c r="I3" s="594"/>
      <c r="K3" s="82"/>
      <c r="L3" s="105" t="s">
        <v>23</v>
      </c>
      <c r="M3" s="521" t="s">
        <v>23</v>
      </c>
      <c r="N3" s="589" t="s">
        <v>1</v>
      </c>
      <c r="O3" s="589"/>
      <c r="P3" s="589"/>
      <c r="Q3" s="589"/>
      <c r="R3" s="589"/>
    </row>
    <row r="4" spans="1:19" ht="14.25" x14ac:dyDescent="0.2">
      <c r="A4" s="515"/>
      <c r="B4" s="516" t="s">
        <v>2</v>
      </c>
      <c r="C4" s="517">
        <v>2022</v>
      </c>
      <c r="D4" s="518">
        <f>C4+1</f>
        <v>2023</v>
      </c>
      <c r="E4" s="518" t="s">
        <v>169</v>
      </c>
      <c r="F4" s="518" t="s">
        <v>213</v>
      </c>
      <c r="G4" s="518" t="s">
        <v>228</v>
      </c>
      <c r="H4" s="518" t="s">
        <v>253</v>
      </c>
      <c r="I4" s="518" t="s">
        <v>271</v>
      </c>
      <c r="K4" s="82"/>
      <c r="L4" s="105">
        <f>C4</f>
        <v>2022</v>
      </c>
      <c r="M4" s="521">
        <f t="shared" ref="M4:R4" si="0">L4+1</f>
        <v>2023</v>
      </c>
      <c r="N4" s="521">
        <f t="shared" si="0"/>
        <v>2024</v>
      </c>
      <c r="O4" s="521">
        <f t="shared" si="0"/>
        <v>2025</v>
      </c>
      <c r="P4" s="521">
        <f t="shared" si="0"/>
        <v>2026</v>
      </c>
      <c r="Q4" s="521">
        <f t="shared" si="0"/>
        <v>2027</v>
      </c>
      <c r="R4" s="521">
        <f t="shared" si="0"/>
        <v>2028</v>
      </c>
    </row>
    <row r="5" spans="1:19" x14ac:dyDescent="0.2">
      <c r="A5" s="7"/>
      <c r="B5" s="8" t="s">
        <v>3</v>
      </c>
      <c r="C5" s="220">
        <f>[4]Maladie!$H$6</f>
        <v>6106.6009445300006</v>
      </c>
      <c r="D5" s="220">
        <f>[4]Maladie!$I$6</f>
        <v>6137.2472051500008</v>
      </c>
      <c r="E5" s="265">
        <f>[4]Maladie!$R$6</f>
        <v>6313.3870358075874</v>
      </c>
      <c r="F5" s="266">
        <f>[4]Maladie!$W$6</f>
        <v>6537.3302567347409</v>
      </c>
      <c r="G5" s="266">
        <f>[4]Maladie!$AB$6</f>
        <v>6804.2397632770089</v>
      </c>
      <c r="H5" s="266">
        <f>[4]Maladie!$AG$6</f>
        <v>7064.6230927348306</v>
      </c>
      <c r="I5" s="266">
        <f>[4]Maladie!$AL$6</f>
        <v>7334.4902269769427</v>
      </c>
      <c r="K5" s="33" t="s">
        <v>106</v>
      </c>
      <c r="L5" s="161">
        <f t="shared" ref="L5:R7" si="1">C11-C5</f>
        <v>0</v>
      </c>
      <c r="M5" s="523">
        <f t="shared" si="1"/>
        <v>0</v>
      </c>
      <c r="N5" s="523">
        <f t="shared" si="1"/>
        <v>0</v>
      </c>
      <c r="O5" s="523">
        <f t="shared" si="1"/>
        <v>0</v>
      </c>
      <c r="P5" s="523">
        <f t="shared" si="1"/>
        <v>0</v>
      </c>
      <c r="Q5" s="523">
        <f t="shared" si="1"/>
        <v>0</v>
      </c>
      <c r="R5" s="523">
        <f t="shared" si="1"/>
        <v>0</v>
      </c>
    </row>
    <row r="6" spans="1:19" x14ac:dyDescent="0.2">
      <c r="A6" s="12"/>
      <c r="B6" s="13" t="s">
        <v>33</v>
      </c>
      <c r="C6" s="267">
        <f>[4]AT!$H$6</f>
        <v>740.97023516000002</v>
      </c>
      <c r="D6" s="267">
        <f>[4]AT!$I$6</f>
        <v>766.76793252999994</v>
      </c>
      <c r="E6" s="267">
        <f>[4]AT!$R$6</f>
        <v>782.97544573976472</v>
      </c>
      <c r="F6" s="267">
        <f>[4]AT!$W$6</f>
        <v>800.5497772695287</v>
      </c>
      <c r="G6" s="267">
        <f>[4]AT!$AB$6</f>
        <v>819.07146146908735</v>
      </c>
      <c r="H6" s="267">
        <f>[4]AT!$AG$6</f>
        <v>837.61015036970787</v>
      </c>
      <c r="I6" s="267">
        <f>[4]AT!$AL$6</f>
        <v>856.17002165060933</v>
      </c>
      <c r="K6" s="33" t="s">
        <v>107</v>
      </c>
      <c r="L6" s="162">
        <f t="shared" si="1"/>
        <v>59.604045509999992</v>
      </c>
      <c r="M6" s="524">
        <f t="shared" si="1"/>
        <v>60.565167089999932</v>
      </c>
      <c r="N6" s="524">
        <f t="shared" si="1"/>
        <v>43.808654973630951</v>
      </c>
      <c r="O6" s="524">
        <f t="shared" si="1"/>
        <v>45.227142333441179</v>
      </c>
      <c r="P6" s="524">
        <f t="shared" si="1"/>
        <v>46.362576466998121</v>
      </c>
      <c r="Q6" s="524">
        <f t="shared" si="1"/>
        <v>46.725631735700517</v>
      </c>
      <c r="R6" s="524">
        <f t="shared" si="1"/>
        <v>48.865050767315324</v>
      </c>
    </row>
    <row r="7" spans="1:19" x14ac:dyDescent="0.2">
      <c r="A7" s="10"/>
      <c r="B7" s="11" t="s">
        <v>5</v>
      </c>
      <c r="C7" s="268">
        <f>[4]Famille!$H$6</f>
        <v>1023.51358857</v>
      </c>
      <c r="D7" s="268">
        <f>[4]Famille!$I$6</f>
        <v>981.95520630999999</v>
      </c>
      <c r="E7" s="268">
        <f>[4]Famille!$R$6</f>
        <v>985.32529777899936</v>
      </c>
      <c r="F7" s="268">
        <f>[4]Famille!$W$6</f>
        <v>1002.7348904973385</v>
      </c>
      <c r="G7" s="268">
        <f>[4]Famille!$AB$6</f>
        <v>1019.3226791601655</v>
      </c>
      <c r="H7" s="268">
        <f>[4]Famille!$AG$6</f>
        <v>1036.4559184185941</v>
      </c>
      <c r="I7" s="268">
        <f>[4]Famille!$AL$6</f>
        <v>1053.9499639408125</v>
      </c>
      <c r="K7" s="33" t="s">
        <v>108</v>
      </c>
      <c r="L7" s="162">
        <f t="shared" si="1"/>
        <v>0</v>
      </c>
      <c r="M7" s="76">
        <f t="shared" si="1"/>
        <v>0</v>
      </c>
      <c r="N7" s="76">
        <f t="shared" si="1"/>
        <v>0</v>
      </c>
      <c r="O7" s="76">
        <f t="shared" si="1"/>
        <v>0</v>
      </c>
      <c r="P7" s="76">
        <f t="shared" si="1"/>
        <v>0</v>
      </c>
      <c r="Q7" s="76">
        <f t="shared" si="1"/>
        <v>0</v>
      </c>
      <c r="R7" s="76">
        <f t="shared" si="1"/>
        <v>0</v>
      </c>
    </row>
    <row r="8" spans="1:19" x14ac:dyDescent="0.2">
      <c r="A8" s="155"/>
      <c r="B8" s="156" t="s">
        <v>4</v>
      </c>
      <c r="C8" s="268">
        <f>[4]Vieillesse!$H$6</f>
        <v>6893.7466213700009</v>
      </c>
      <c r="D8" s="268">
        <f>[4]Vieillesse!$I$6</f>
        <v>7234.5708767199994</v>
      </c>
      <c r="E8" s="268">
        <f>[4]Vieillesse!$R$6</f>
        <v>7615.2751465405745</v>
      </c>
      <c r="F8" s="268">
        <f>[4]Vieillesse!$W$6</f>
        <v>7889.1581563343134</v>
      </c>
      <c r="G8" s="268">
        <f>[4]Vieillesse!$AB$6</f>
        <v>8138.6708055944364</v>
      </c>
      <c r="H8" s="268">
        <f>[4]Vieillesse!$AG$6</f>
        <v>8418.9245427860769</v>
      </c>
      <c r="I8" s="268">
        <f>[4]Vieillesse!$AL$6</f>
        <v>8675.6387048341967</v>
      </c>
      <c r="K8" s="33" t="s">
        <v>109</v>
      </c>
      <c r="L8" s="163">
        <f>C14-C8</f>
        <v>0</v>
      </c>
      <c r="M8" s="525">
        <f t="shared" ref="M8:R9" si="2">D14-D8</f>
        <v>3.9457990001210419E-2</v>
      </c>
      <c r="N8" s="76">
        <f>E14-E8</f>
        <v>0</v>
      </c>
      <c r="O8" s="76">
        <f>F14-F8</f>
        <v>0</v>
      </c>
      <c r="P8" s="76">
        <f t="shared" si="2"/>
        <v>0</v>
      </c>
      <c r="Q8" s="76">
        <f t="shared" si="2"/>
        <v>0</v>
      </c>
      <c r="R8" s="76">
        <f t="shared" si="2"/>
        <v>0</v>
      </c>
    </row>
    <row r="9" spans="1:19" x14ac:dyDescent="0.2">
      <c r="A9" s="207"/>
      <c r="B9" s="208" t="s">
        <v>231</v>
      </c>
      <c r="C9" s="269">
        <f>[4]SASPA!$H$6</f>
        <v>697.76044102999992</v>
      </c>
      <c r="D9" s="269">
        <f>[4]SASPA!$I$6</f>
        <v>694.20683297999994</v>
      </c>
      <c r="E9" s="269">
        <f>[4]SASPA!$R$6</f>
        <v>752.61466507330113</v>
      </c>
      <c r="F9" s="269">
        <f>[4]SASPA!$W$6</f>
        <v>769.2058521039811</v>
      </c>
      <c r="G9" s="269">
        <f>[4]SASPA!$AB$6</f>
        <v>787.20908990517364</v>
      </c>
      <c r="H9" s="269">
        <f>[4]SASPA!$AG$6</f>
        <v>806.86447341181406</v>
      </c>
      <c r="I9" s="269">
        <f>[4]SASPA!$AL$6</f>
        <v>828.80471347613923</v>
      </c>
      <c r="K9" s="213" t="s">
        <v>235</v>
      </c>
      <c r="L9" s="163">
        <f>C15-C9</f>
        <v>0</v>
      </c>
      <c r="M9" s="525">
        <f t="shared" si="2"/>
        <v>0</v>
      </c>
      <c r="N9" s="525">
        <f>E15-E9</f>
        <v>0</v>
      </c>
      <c r="O9" s="525">
        <f>F15-F9</f>
        <v>0</v>
      </c>
      <c r="P9" s="525">
        <f t="shared" si="2"/>
        <v>0</v>
      </c>
      <c r="Q9" s="525">
        <f t="shared" si="2"/>
        <v>0</v>
      </c>
      <c r="R9" s="525">
        <f t="shared" si="2"/>
        <v>0</v>
      </c>
    </row>
    <row r="10" spans="1:19" ht="14.25" x14ac:dyDescent="0.2">
      <c r="A10" s="17" t="s">
        <v>20</v>
      </c>
      <c r="B10" s="18"/>
      <c r="C10" s="46">
        <f>SUM(C5:C9)</f>
        <v>15462.591830660002</v>
      </c>
      <c r="D10" s="46">
        <f t="shared" ref="D10:I10" si="3">SUM(D5:D9)</f>
        <v>15814.74805369</v>
      </c>
      <c r="E10" s="46">
        <f t="shared" si="3"/>
        <v>16449.577590940229</v>
      </c>
      <c r="F10" s="46">
        <f t="shared" si="3"/>
        <v>16998.978932939903</v>
      </c>
      <c r="G10" s="46">
        <f t="shared" si="3"/>
        <v>17568.513799405871</v>
      </c>
      <c r="H10" s="46">
        <f t="shared" si="3"/>
        <v>18164.478177721023</v>
      </c>
      <c r="I10" s="46">
        <f t="shared" si="3"/>
        <v>18749.053630878701</v>
      </c>
      <c r="L10" s="164">
        <f t="shared" ref="L10:R10" si="4">SUM(L5:L8)</f>
        <v>59.604045509999992</v>
      </c>
      <c r="M10" s="526">
        <f t="shared" si="4"/>
        <v>60.604625080001142</v>
      </c>
      <c r="N10" s="526">
        <f t="shared" si="4"/>
        <v>43.808654973630951</v>
      </c>
      <c r="O10" s="526">
        <f t="shared" si="4"/>
        <v>45.227142333441179</v>
      </c>
      <c r="P10" s="526">
        <f t="shared" si="4"/>
        <v>46.362576466998121</v>
      </c>
      <c r="Q10" s="526">
        <f t="shared" si="4"/>
        <v>46.725631735700517</v>
      </c>
      <c r="R10" s="526">
        <f t="shared" si="4"/>
        <v>48.865050767315324</v>
      </c>
    </row>
    <row r="11" spans="1:19" x14ac:dyDescent="0.2">
      <c r="A11" s="7"/>
      <c r="B11" s="8" t="s">
        <v>7</v>
      </c>
      <c r="C11" s="220">
        <f>[4]Maladie!$H$153</f>
        <v>6106.6009445300006</v>
      </c>
      <c r="D11" s="220">
        <f>[4]Maladie!$I$153</f>
        <v>6137.2472051499999</v>
      </c>
      <c r="E11" s="220">
        <f>[4]Maladie!$R$153</f>
        <v>6313.3870358075874</v>
      </c>
      <c r="F11" s="220">
        <f>[4]Maladie!$W$153</f>
        <v>6537.3302567347409</v>
      </c>
      <c r="G11" s="220">
        <f>[4]Maladie!$AB$153</f>
        <v>6804.2397632770089</v>
      </c>
      <c r="H11" s="220">
        <f>[4]Maladie!$AG$153</f>
        <v>7064.6230927348306</v>
      </c>
      <c r="I11" s="220">
        <f>[4]Maladie!$AL$153</f>
        <v>7334.4902269769418</v>
      </c>
      <c r="J11"/>
    </row>
    <row r="12" spans="1:19" ht="14.25" x14ac:dyDescent="0.2">
      <c r="A12" s="10"/>
      <c r="B12" s="11" t="s">
        <v>34</v>
      </c>
      <c r="C12" s="268">
        <f>[4]AT!$H$94</f>
        <v>800.57428067000001</v>
      </c>
      <c r="D12" s="268">
        <f>[4]AT!$I$94</f>
        <v>827.33309961999987</v>
      </c>
      <c r="E12" s="268">
        <f>[4]AT!$R$94</f>
        <v>826.78410071339567</v>
      </c>
      <c r="F12" s="268">
        <f>[4]AT!$W$94</f>
        <v>845.77691960296988</v>
      </c>
      <c r="G12" s="268">
        <f>[4]AT!$AB$94</f>
        <v>865.43403793608547</v>
      </c>
      <c r="H12" s="268">
        <f>[4]AT!$AG$94</f>
        <v>884.33578210540838</v>
      </c>
      <c r="I12" s="268">
        <f>[4]AT!$AL$94</f>
        <v>905.03507241792465</v>
      </c>
      <c r="J12"/>
      <c r="L12" s="192" t="s">
        <v>23</v>
      </c>
      <c r="M12" s="589" t="s">
        <v>23</v>
      </c>
      <c r="N12" s="589"/>
      <c r="O12" s="601" t="s">
        <v>1</v>
      </c>
      <c r="P12" s="602"/>
      <c r="Q12" s="602"/>
      <c r="R12" s="602"/>
      <c r="S12" s="603"/>
    </row>
    <row r="13" spans="1:19" ht="14.25" x14ac:dyDescent="0.2">
      <c r="A13" s="10"/>
      <c r="B13" s="11" t="s">
        <v>9</v>
      </c>
      <c r="C13" s="268">
        <f>[4]Famille!$H$87</f>
        <v>1023.5135885699997</v>
      </c>
      <c r="D13" s="268">
        <f>[4]Famille!$I$87</f>
        <v>981.95520630999999</v>
      </c>
      <c r="E13" s="268">
        <f>[4]Famille!$R$87</f>
        <v>985.32529777899924</v>
      </c>
      <c r="F13" s="268">
        <f>[4]Famille!$W$87</f>
        <v>1002.7348904973385</v>
      </c>
      <c r="G13" s="268">
        <f>[4]Famille!$AB$87</f>
        <v>1019.3226791601655</v>
      </c>
      <c r="H13" s="268">
        <f>[4]Famille!$AG$87</f>
        <v>1036.4559184185944</v>
      </c>
      <c r="I13" s="268">
        <f>[4]Famille!$AL$87</f>
        <v>1053.9499639408125</v>
      </c>
      <c r="K13" s="215" t="s">
        <v>171</v>
      </c>
      <c r="L13" s="193">
        <f>L4</f>
        <v>2022</v>
      </c>
      <c r="M13" s="522">
        <v>2022</v>
      </c>
      <c r="N13" s="522">
        <f>L13+1</f>
        <v>2023</v>
      </c>
      <c r="O13" s="522">
        <f>N13+1</f>
        <v>2024</v>
      </c>
      <c r="P13" s="522">
        <f>O13+1</f>
        <v>2025</v>
      </c>
      <c r="Q13" s="522">
        <f>P13+1</f>
        <v>2026</v>
      </c>
      <c r="R13" s="522">
        <f>Q13+1</f>
        <v>2027</v>
      </c>
      <c r="S13" s="522">
        <f>R13+1</f>
        <v>2028</v>
      </c>
    </row>
    <row r="14" spans="1:19" s="133" customFormat="1" x14ac:dyDescent="0.2">
      <c r="A14" s="139"/>
      <c r="B14" s="154" t="s">
        <v>8</v>
      </c>
      <c r="C14" s="268">
        <f>[4]Vieillesse!$H$102</f>
        <v>6893.7466213700009</v>
      </c>
      <c r="D14" s="268">
        <f>[4]Vieillesse!$I$102</f>
        <v>7234.6103347100006</v>
      </c>
      <c r="E14" s="268">
        <f>[4]Vieillesse!$R$102</f>
        <v>7615.2751465405736</v>
      </c>
      <c r="F14" s="268">
        <f>[4]Vieillesse!$W$102</f>
        <v>7889.1581563343143</v>
      </c>
      <c r="G14" s="268">
        <f>[4]Vieillesse!$AB$102</f>
        <v>8138.6708055944373</v>
      </c>
      <c r="H14" s="268">
        <f>[4]Vieillesse!$AG$102</f>
        <v>8418.9245427860769</v>
      </c>
      <c r="I14" s="268">
        <f>[4]Vieillesse!$AL$102</f>
        <v>8675.6387048341967</v>
      </c>
      <c r="K14" s="491" t="s">
        <v>222</v>
      </c>
      <c r="L14" s="194">
        <f>[5]Maladie!$H$252</f>
        <v>2672.4198642800002</v>
      </c>
      <c r="M14" s="84">
        <f>[4]Maladie!$H$256</f>
        <v>2740.6044712799999</v>
      </c>
      <c r="N14" s="84">
        <f>[4]Maladie!$I$256</f>
        <v>2589.8622132199998</v>
      </c>
      <c r="O14" s="84">
        <f>[4]Maladie!$R$256</f>
        <v>2655.013030320888</v>
      </c>
      <c r="P14" s="84">
        <f>[4]Maladie!$W$256</f>
        <v>2794.313620451202</v>
      </c>
      <c r="Q14" s="84">
        <f>[4]Maladie!$AB$256</f>
        <v>2979.5898687508088</v>
      </c>
      <c r="R14" s="84">
        <f>[4]Maladie!$AG$256</f>
        <v>3152.8911608325348</v>
      </c>
      <c r="S14" s="84">
        <f>[4]Maladie!$AL$256</f>
        <v>3332.8878159898177</v>
      </c>
    </row>
    <row r="15" spans="1:19" s="133" customFormat="1" x14ac:dyDescent="0.2">
      <c r="A15" s="175"/>
      <c r="B15" s="209" t="s">
        <v>232</v>
      </c>
      <c r="C15" s="270">
        <f>[4]SASPA!$H$102</f>
        <v>697.76044103000015</v>
      </c>
      <c r="D15" s="270">
        <f>[4]SASPA!$I$102</f>
        <v>694.20683297999994</v>
      </c>
      <c r="E15" s="270">
        <f>[4]SASPA!$R$102</f>
        <v>752.61466507330113</v>
      </c>
      <c r="F15" s="270">
        <f>[4]SASPA!$W$102</f>
        <v>769.2058521039811</v>
      </c>
      <c r="G15" s="270">
        <f>[4]SASPA!$AB$102</f>
        <v>787.20908990517364</v>
      </c>
      <c r="H15" s="270">
        <f>[4]SASPA!$AG$102</f>
        <v>806.86447341181417</v>
      </c>
      <c r="I15" s="270">
        <f>[4]SASPA!$AL$102</f>
        <v>828.80471347613934</v>
      </c>
      <c r="K15" s="491" t="s">
        <v>224</v>
      </c>
      <c r="L15" s="195">
        <f>[5]Famille!$H$171</f>
        <v>193.54892878000001</v>
      </c>
      <c r="M15" s="84">
        <f>[4]Famille!$H$171</f>
        <v>48.467233780000001</v>
      </c>
      <c r="N15" s="84">
        <f>[4]Famille!$I$171</f>
        <v>22.085180659999999</v>
      </c>
      <c r="O15" s="84">
        <f>-[4]Famille!$R$53</f>
        <v>-48.894630067382494</v>
      </c>
      <c r="P15" s="84">
        <f>-[4]Famille!$W$53</f>
        <v>-53.366927504683431</v>
      </c>
      <c r="Q15" s="84">
        <f>-[4]Famille!$AB$53</f>
        <v>-59.955851383808081</v>
      </c>
      <c r="R15" s="84">
        <f>-[4]Famille!$AG$53</f>
        <v>-75.071942686168313</v>
      </c>
      <c r="S15" s="84">
        <f>-[4]Famille!$AL$53</f>
        <v>-89.093079793651455</v>
      </c>
    </row>
    <row r="16" spans="1:19" ht="14.25" x14ac:dyDescent="0.2">
      <c r="A16" s="17" t="s">
        <v>284</v>
      </c>
      <c r="B16" s="18"/>
      <c r="C16" s="42">
        <f>SUM(C11:C15)</f>
        <v>15522.195876170003</v>
      </c>
      <c r="D16" s="42">
        <f t="shared" ref="D16:I16" si="5">SUM(D11:D15)</f>
        <v>15875.352678770001</v>
      </c>
      <c r="E16" s="42">
        <f t="shared" si="5"/>
        <v>16493.386245913858</v>
      </c>
      <c r="F16" s="42">
        <f t="shared" si="5"/>
        <v>17044.206075273345</v>
      </c>
      <c r="G16" s="42">
        <f>SUM(G11:G15)</f>
        <v>17614.876375872871</v>
      </c>
      <c r="H16" s="42">
        <f t="shared" si="5"/>
        <v>18211.203809456725</v>
      </c>
      <c r="I16" s="42">
        <f t="shared" si="5"/>
        <v>18797.918681646017</v>
      </c>
      <c r="K16" s="491" t="s">
        <v>223</v>
      </c>
      <c r="L16" s="195">
        <f>-[5]Vieillesse!$H$54</f>
        <v>-248.57770237</v>
      </c>
      <c r="M16" s="84">
        <f>-[4]Vieillesse!$H$54</f>
        <v>-47.514658859999997</v>
      </c>
      <c r="N16" s="84">
        <f>[4]Vieillesse!$I$208</f>
        <v>146.19300853999999</v>
      </c>
      <c r="O16" s="84">
        <f>[4]Vieillesse!$R$208</f>
        <v>339.83348079705422</v>
      </c>
      <c r="P16" s="84">
        <f>[4]Vieillesse!$W$208</f>
        <v>473.90111069303543</v>
      </c>
      <c r="Q16" s="84">
        <f>[4]Vieillesse!$AB$208</f>
        <v>602.43182245774858</v>
      </c>
      <c r="R16" s="84">
        <f>[4]Vieillesse!$AG$208</f>
        <v>782.54287777660693</v>
      </c>
      <c r="S16" s="84">
        <f>[4]Vieillesse!$AL$208</f>
        <v>986.05021362266746</v>
      </c>
    </row>
    <row r="17" spans="1:19" ht="15" x14ac:dyDescent="0.25">
      <c r="A17" s="595" t="s">
        <v>11</v>
      </c>
      <c r="B17" s="596"/>
      <c r="C17" s="211">
        <f t="shared" ref="C17:H17" si="6">C16-C10</f>
        <v>59.604045510001015</v>
      </c>
      <c r="D17" s="211">
        <f t="shared" si="6"/>
        <v>60.604625080000915</v>
      </c>
      <c r="E17" s="211">
        <f t="shared" si="6"/>
        <v>43.808654973629018</v>
      </c>
      <c r="F17" s="211">
        <f t="shared" si="6"/>
        <v>45.227142333442316</v>
      </c>
      <c r="G17" s="211">
        <f t="shared" si="6"/>
        <v>46.362576466999599</v>
      </c>
      <c r="H17" s="211">
        <f t="shared" si="6"/>
        <v>46.725631735702336</v>
      </c>
      <c r="I17" s="211">
        <f>I16-I10</f>
        <v>48.865050767315552</v>
      </c>
      <c r="J17" s="107"/>
      <c r="K17" s="491" t="s">
        <v>246</v>
      </c>
      <c r="L17" s="194">
        <f>[5]SASPA!$H$208</f>
        <v>0</v>
      </c>
      <c r="M17" s="84">
        <f>[4]SASPA!$H$208</f>
        <v>0</v>
      </c>
      <c r="N17" s="84">
        <f>[4]SASPA!$I$208</f>
        <v>0</v>
      </c>
      <c r="O17" s="84">
        <f>[4]SASPA!$R$208</f>
        <v>0</v>
      </c>
      <c r="P17" s="84">
        <f>[4]SASPA!$W$208</f>
        <v>0</v>
      </c>
      <c r="Q17" s="84">
        <f>[4]SASPA!$AB$208</f>
        <v>0</v>
      </c>
      <c r="R17" s="84">
        <f>[4]SASPA!$AG$208</f>
        <v>0</v>
      </c>
      <c r="S17" s="84">
        <f>[4]SASPA!$AL$208</f>
        <v>0</v>
      </c>
    </row>
    <row r="18" spans="1:19" x14ac:dyDescent="0.2">
      <c r="C18" s="197">
        <f>C14-C8</f>
        <v>0</v>
      </c>
      <c r="D18" s="197">
        <f t="shared" ref="D18:I18" si="7">D14-D8</f>
        <v>3.9457990001210419E-2</v>
      </c>
      <c r="E18" s="197">
        <f>E14-E8</f>
        <v>0</v>
      </c>
      <c r="F18" s="197">
        <f t="shared" si="7"/>
        <v>0</v>
      </c>
      <c r="G18" s="197">
        <f t="shared" si="7"/>
        <v>0</v>
      </c>
      <c r="H18" s="197">
        <f t="shared" si="7"/>
        <v>0</v>
      </c>
      <c r="I18" s="197">
        <f t="shared" si="7"/>
        <v>0</v>
      </c>
      <c r="K18" s="491" t="s">
        <v>225</v>
      </c>
      <c r="L18" s="194">
        <f>SUM(L14:L16)</f>
        <v>2617.3910906900001</v>
      </c>
      <c r="M18" s="84">
        <f t="shared" ref="M18:R18" si="8">SUM(M14:M17)</f>
        <v>2741.5570461999996</v>
      </c>
      <c r="N18" s="84">
        <f t="shared" si="8"/>
        <v>2758.1404024199996</v>
      </c>
      <c r="O18" s="84">
        <f t="shared" si="8"/>
        <v>2945.9518810505597</v>
      </c>
      <c r="P18" s="84">
        <f t="shared" si="8"/>
        <v>3214.8478036395536</v>
      </c>
      <c r="Q18" s="84">
        <f t="shared" si="8"/>
        <v>3522.0658398247492</v>
      </c>
      <c r="R18" s="84">
        <f t="shared" si="8"/>
        <v>3860.3620959229734</v>
      </c>
      <c r="S18" s="84">
        <f>SUM(S14:S17)</f>
        <v>4229.8449498188338</v>
      </c>
    </row>
    <row r="19" spans="1:19" x14ac:dyDescent="0.2">
      <c r="A19" s="139"/>
      <c r="B19" s="519" t="s">
        <v>266</v>
      </c>
      <c r="C19" s="520">
        <f>[4]Maladie!$H$256</f>
        <v>2740.6044712799999</v>
      </c>
      <c r="D19" s="520">
        <f>[4]Maladie!$I$256</f>
        <v>2589.8622132199998</v>
      </c>
      <c r="E19" s="520">
        <f>[4]Maladie!$R$256</f>
        <v>2655.013030320888</v>
      </c>
      <c r="F19" s="520">
        <f>[4]Maladie!$W$256</f>
        <v>2794.313620451202</v>
      </c>
      <c r="G19" s="520">
        <f>[4]Maladie!$AB$256</f>
        <v>2979.5898687508088</v>
      </c>
      <c r="H19" s="520">
        <f>[4]Maladie!$AG$256</f>
        <v>3152.8911608325348</v>
      </c>
      <c r="I19" s="520">
        <f>[4]Maladie!$AL$256</f>
        <v>3332.8878159898177</v>
      </c>
    </row>
    <row r="20" spans="1:19" ht="14.25" x14ac:dyDescent="0.2">
      <c r="A20" s="175"/>
      <c r="L20" s="216" t="s">
        <v>23</v>
      </c>
      <c r="M20" s="521" t="s">
        <v>23</v>
      </c>
      <c r="N20" s="589" t="s">
        <v>249</v>
      </c>
      <c r="O20" s="589"/>
      <c r="P20" s="589"/>
      <c r="Q20" s="589"/>
      <c r="R20" s="589"/>
    </row>
    <row r="21" spans="1:19" ht="14.25" x14ac:dyDescent="0.2">
      <c r="A21" s="175"/>
      <c r="B21" s="176"/>
      <c r="C21" s="177"/>
      <c r="D21" s="177"/>
      <c r="E21" s="180"/>
      <c r="F21" s="180"/>
      <c r="G21" s="178"/>
      <c r="H21" s="178"/>
      <c r="I21" s="179"/>
      <c r="L21" s="193" t="str">
        <f>L12</f>
        <v>Réalisations</v>
      </c>
      <c r="M21" s="522">
        <f>N13</f>
        <v>2023</v>
      </c>
      <c r="N21" s="522">
        <f>M21+1</f>
        <v>2024</v>
      </c>
      <c r="O21" s="522">
        <f>N21+1</f>
        <v>2025</v>
      </c>
      <c r="P21" s="522">
        <f>O21+1</f>
        <v>2026</v>
      </c>
      <c r="Q21" s="522">
        <f>P21+1</f>
        <v>2027</v>
      </c>
      <c r="R21" s="522">
        <f>Q21+1</f>
        <v>2028</v>
      </c>
    </row>
    <row r="22" spans="1:19" ht="14.25" x14ac:dyDescent="0.2">
      <c r="A22" s="590" t="s">
        <v>37</v>
      </c>
      <c r="B22" s="591"/>
      <c r="C22" s="530" t="s">
        <v>23</v>
      </c>
      <c r="D22" s="598" t="s">
        <v>1</v>
      </c>
      <c r="E22" s="599"/>
      <c r="F22" s="599"/>
      <c r="G22" s="599"/>
      <c r="H22" s="600"/>
      <c r="K22" s="491" t="s">
        <v>222</v>
      </c>
      <c r="L22" s="194">
        <f>[5]Maladie!$H$252</f>
        <v>2672.4198642800002</v>
      </c>
      <c r="M22" s="527"/>
      <c r="N22" s="528">
        <f>O14/N14-1</f>
        <v>2.5156093929755929E-2</v>
      </c>
      <c r="O22" s="528">
        <f>P14/O14-1</f>
        <v>5.2467008086012346E-2</v>
      </c>
      <c r="P22" s="528">
        <f>Q14/P14-1</f>
        <v>6.6304743656401044E-2</v>
      </c>
      <c r="Q22" s="528">
        <f>R14/Q14-1</f>
        <v>5.8162800826807137E-2</v>
      </c>
      <c r="R22" s="528">
        <f>S14/R14-1</f>
        <v>5.7089396993251773E-2</v>
      </c>
    </row>
    <row r="23" spans="1:19" ht="14.25" x14ac:dyDescent="0.2">
      <c r="A23" s="515"/>
      <c r="B23" s="531" t="s">
        <v>0</v>
      </c>
      <c r="C23" s="532" t="s">
        <v>151</v>
      </c>
      <c r="D23" s="532" t="s">
        <v>170</v>
      </c>
      <c r="E23" s="532" t="s">
        <v>212</v>
      </c>
      <c r="F23" s="532" t="s">
        <v>227</v>
      </c>
      <c r="G23" s="532" t="s">
        <v>252</v>
      </c>
      <c r="H23" s="532" t="s">
        <v>270</v>
      </c>
      <c r="K23" s="491" t="s">
        <v>246</v>
      </c>
      <c r="L23" s="194">
        <f>[5]SASPA!$H$208</f>
        <v>0</v>
      </c>
      <c r="M23" s="527"/>
      <c r="N23" s="528" t="e">
        <f>O17/N17-1</f>
        <v>#DIV/0!</v>
      </c>
      <c r="O23" s="528" t="e">
        <f>P17/O17-1</f>
        <v>#DIV/0!</v>
      </c>
      <c r="P23" s="528" t="e">
        <f>Q17/P17-1</f>
        <v>#DIV/0!</v>
      </c>
      <c r="Q23" s="528" t="e">
        <f>R17/Q17-1</f>
        <v>#DIV/0!</v>
      </c>
      <c r="R23" s="528" t="e">
        <f>S17/R17-1</f>
        <v>#DIV/0!</v>
      </c>
    </row>
    <row r="24" spans="1:19" x14ac:dyDescent="0.2">
      <c r="A24" s="7"/>
      <c r="B24" s="8" t="s">
        <v>3</v>
      </c>
      <c r="C24" s="126">
        <f t="shared" ref="C24:H27" si="9">D5/C5-1</f>
        <v>5.0185464710039707E-3</v>
      </c>
      <c r="D24" s="126">
        <f t="shared" si="9"/>
        <v>2.8700136196205595E-2</v>
      </c>
      <c r="E24" s="126">
        <f t="shared" si="9"/>
        <v>3.5471169382934375E-2</v>
      </c>
      <c r="F24" s="126">
        <f t="shared" si="9"/>
        <v>4.0828518073918296E-2</v>
      </c>
      <c r="G24" s="126">
        <f t="shared" si="9"/>
        <v>3.8267806326157006E-2</v>
      </c>
      <c r="H24" s="126">
        <f t="shared" si="9"/>
        <v>3.8199792218163831E-2</v>
      </c>
      <c r="K24" s="491" t="s">
        <v>223</v>
      </c>
      <c r="L24" s="195">
        <f>-[5]Vieillesse!$H$54</f>
        <v>-248.57770237</v>
      </c>
      <c r="M24" s="527"/>
      <c r="N24" s="528">
        <f>O16/N16-1</f>
        <v>1.3245535760629217</v>
      </c>
      <c r="O24" s="528">
        <f>P16/O16-1</f>
        <v>0.39450977455645497</v>
      </c>
      <c r="P24" s="528">
        <f>Q16/P16-1</f>
        <v>0.27121842271428553</v>
      </c>
      <c r="Q24" s="528">
        <f>R16/Q16-1</f>
        <v>0.29897334205231241</v>
      </c>
      <c r="R24" s="528">
        <f>S16/R16-1</f>
        <v>0.26005902248356527</v>
      </c>
    </row>
    <row r="25" spans="1:19" x14ac:dyDescent="0.2">
      <c r="A25" s="12"/>
      <c r="B25" s="13" t="s">
        <v>33</v>
      </c>
      <c r="C25" s="126">
        <f t="shared" si="9"/>
        <v>3.4816104812130932E-2</v>
      </c>
      <c r="D25" s="126">
        <f t="shared" si="9"/>
        <v>2.1137442663110573E-2</v>
      </c>
      <c r="E25" s="126">
        <f t="shared" si="9"/>
        <v>2.2445571729467817E-2</v>
      </c>
      <c r="F25" s="126">
        <f t="shared" si="9"/>
        <v>2.3136205549555422E-2</v>
      </c>
      <c r="G25" s="126">
        <f t="shared" si="9"/>
        <v>2.2633786882733764E-2</v>
      </c>
      <c r="H25" s="126">
        <f t="shared" si="9"/>
        <v>2.2158126035972003E-2</v>
      </c>
      <c r="K25" s="491" t="s">
        <v>224</v>
      </c>
      <c r="L25" s="195">
        <f>[5]Famille!$H$171</f>
        <v>193.54892878000001</v>
      </c>
      <c r="M25" s="527"/>
      <c r="N25" s="528">
        <f>O15/N15-1</f>
        <v>-3.2139112566074202</v>
      </c>
      <c r="O25" s="528">
        <f>P15/O15-1</f>
        <v>9.1468069829705012E-2</v>
      </c>
      <c r="P25" s="528">
        <f>Q15/P15-1</f>
        <v>0.12346455355793928</v>
      </c>
      <c r="Q25" s="528">
        <f>R15/Q15-1</f>
        <v>0.25212036779520308</v>
      </c>
      <c r="R25" s="528">
        <f>S15/R15-1</f>
        <v>0.18676933892729108</v>
      </c>
    </row>
    <row r="26" spans="1:19" x14ac:dyDescent="0.2">
      <c r="A26" s="10"/>
      <c r="B26" s="11" t="s">
        <v>5</v>
      </c>
      <c r="C26" s="126">
        <f t="shared" si="9"/>
        <v>-4.0603644860312205E-2</v>
      </c>
      <c r="D26" s="126">
        <f t="shared" si="9"/>
        <v>3.4320215905403462E-3</v>
      </c>
      <c r="E26" s="126">
        <f t="shared" si="9"/>
        <v>1.7668878245166164E-2</v>
      </c>
      <c r="F26" s="126">
        <f t="shared" si="9"/>
        <v>1.6542546609303432E-2</v>
      </c>
      <c r="G26" s="126">
        <f t="shared" si="9"/>
        <v>1.6808454877649703E-2</v>
      </c>
      <c r="H26" s="126">
        <f t="shared" si="9"/>
        <v>1.6878716413632366E-2</v>
      </c>
      <c r="K26" s="491" t="s">
        <v>225</v>
      </c>
      <c r="L26" s="194">
        <f>SUM(L22:L25)</f>
        <v>2617.3910906900001</v>
      </c>
      <c r="M26" s="527"/>
      <c r="N26" s="529">
        <f>O18/N18-1</f>
        <v>6.8093516365509865E-2</v>
      </c>
      <c r="O26" s="529">
        <f>P18/O18-1</f>
        <v>9.1276413684361568E-2</v>
      </c>
      <c r="P26" s="529">
        <f>Q18/P18-1</f>
        <v>9.556223340880754E-2</v>
      </c>
      <c r="Q26" s="529">
        <f>R18/Q18-1</f>
        <v>9.6050520201251377E-2</v>
      </c>
      <c r="R26" s="529">
        <f>S18/R18-1</f>
        <v>9.5711968130160807E-2</v>
      </c>
    </row>
    <row r="27" spans="1:19" x14ac:dyDescent="0.2">
      <c r="A27" s="10"/>
      <c r="B27" s="11" t="s">
        <v>4</v>
      </c>
      <c r="C27" s="126">
        <f t="shared" si="9"/>
        <v>4.9439626094390121E-2</v>
      </c>
      <c r="D27" s="126">
        <f t="shared" si="9"/>
        <v>5.2622923502710695E-2</v>
      </c>
      <c r="E27" s="126">
        <f t="shared" si="9"/>
        <v>3.5964952614766288E-2</v>
      </c>
      <c r="F27" s="126">
        <f t="shared" si="9"/>
        <v>3.1627284472651285E-2</v>
      </c>
      <c r="G27" s="126">
        <f t="shared" si="9"/>
        <v>3.4434828964822639E-2</v>
      </c>
      <c r="H27" s="126">
        <f t="shared" si="9"/>
        <v>3.0492512522646509E-2</v>
      </c>
    </row>
    <row r="28" spans="1:19" x14ac:dyDescent="0.2">
      <c r="A28" s="210"/>
      <c r="B28" s="209" t="s">
        <v>231</v>
      </c>
      <c r="C28" s="126">
        <f t="shared" ref="C28:C36" si="10">D9/C9-1</f>
        <v>-5.0928769260039086E-3</v>
      </c>
      <c r="D28" s="126">
        <f>E9/D9-1</f>
        <v>8.413606625359149E-2</v>
      </c>
      <c r="E28" s="126">
        <f>F9/E9-1</f>
        <v>2.2044729927052531E-2</v>
      </c>
      <c r="F28" s="126">
        <f>G9/F9-1</f>
        <v>2.3404967281448696E-2</v>
      </c>
      <c r="G28" s="126">
        <f>H9/G9-1</f>
        <v>2.4968440734097763E-2</v>
      </c>
      <c r="H28" s="126">
        <f>I9/H9-1</f>
        <v>2.71919768279687E-2</v>
      </c>
    </row>
    <row r="29" spans="1:19" ht="14.25" x14ac:dyDescent="0.2">
      <c r="A29" s="17" t="s">
        <v>20</v>
      </c>
      <c r="B29" s="18"/>
      <c r="C29" s="28">
        <f t="shared" si="10"/>
        <v>2.2774721527067943E-2</v>
      </c>
      <c r="D29" s="28">
        <f t="shared" ref="D29:H32" si="11">E10/D10-1</f>
        <v>4.0141615604309733E-2</v>
      </c>
      <c r="E29" s="28">
        <f t="shared" si="11"/>
        <v>3.3399115506908883E-2</v>
      </c>
      <c r="F29" s="28">
        <f t="shared" si="11"/>
        <v>3.3504063315376476E-2</v>
      </c>
      <c r="G29" s="28">
        <f t="shared" si="11"/>
        <v>3.3922299012868473E-2</v>
      </c>
      <c r="H29" s="28">
        <f t="shared" si="11"/>
        <v>3.2182342230709926E-2</v>
      </c>
    </row>
    <row r="30" spans="1:19" x14ac:dyDescent="0.2">
      <c r="A30" s="7"/>
      <c r="B30" s="8" t="s">
        <v>7</v>
      </c>
      <c r="C30" s="126">
        <f t="shared" si="10"/>
        <v>5.0185464710037486E-3</v>
      </c>
      <c r="D30" s="126">
        <f t="shared" si="11"/>
        <v>2.8700136196205595E-2</v>
      </c>
      <c r="E30" s="126">
        <f t="shared" si="11"/>
        <v>3.5471169382934375E-2</v>
      </c>
      <c r="F30" s="126">
        <f t="shared" si="11"/>
        <v>4.0828518073918296E-2</v>
      </c>
      <c r="G30" s="126">
        <f t="shared" si="11"/>
        <v>3.8267806326157006E-2</v>
      </c>
      <c r="H30" s="126">
        <f t="shared" si="11"/>
        <v>3.8199792218163608E-2</v>
      </c>
    </row>
    <row r="31" spans="1:19" x14ac:dyDescent="0.2">
      <c r="A31" s="10"/>
      <c r="B31" s="11" t="s">
        <v>34</v>
      </c>
      <c r="C31" s="126">
        <f t="shared" si="10"/>
        <v>3.3424529860746288E-2</v>
      </c>
      <c r="D31" s="126">
        <f t="shared" si="11"/>
        <v>-6.6357662573435228E-4</v>
      </c>
      <c r="E31" s="126">
        <f t="shared" si="11"/>
        <v>2.2971920811232449E-2</v>
      </c>
      <c r="F31" s="126">
        <f t="shared" si="11"/>
        <v>2.3241492972335021E-2</v>
      </c>
      <c r="G31" s="126">
        <f t="shared" si="11"/>
        <v>2.1840768147276091E-2</v>
      </c>
      <c r="H31" s="126">
        <f t="shared" si="11"/>
        <v>2.3406595923593398E-2</v>
      </c>
    </row>
    <row r="32" spans="1:19" x14ac:dyDescent="0.2">
      <c r="A32" s="10"/>
      <c r="B32" s="11" t="s">
        <v>9</v>
      </c>
      <c r="C32" s="126">
        <f t="shared" si="10"/>
        <v>-4.0603644860311983E-2</v>
      </c>
      <c r="D32" s="126">
        <f t="shared" si="11"/>
        <v>3.4320215905401241E-3</v>
      </c>
      <c r="E32" s="126">
        <f t="shared" si="11"/>
        <v>1.7668878245166164E-2</v>
      </c>
      <c r="F32" s="126">
        <f t="shared" si="11"/>
        <v>1.6542546609303432E-2</v>
      </c>
      <c r="G32" s="126">
        <f t="shared" si="11"/>
        <v>1.6808454877649925E-2</v>
      </c>
      <c r="H32" s="126">
        <f t="shared" si="11"/>
        <v>1.6878716413632144E-2</v>
      </c>
    </row>
    <row r="33" spans="1:9" x14ac:dyDescent="0.2">
      <c r="A33" s="10"/>
      <c r="B33" s="11" t="s">
        <v>8</v>
      </c>
      <c r="C33" s="126">
        <f t="shared" si="10"/>
        <v>4.9445349831012342E-2</v>
      </c>
      <c r="D33" s="126">
        <f t="shared" ref="D33:H34" si="12">E14/D14-1</f>
        <v>5.2617182435414689E-2</v>
      </c>
      <c r="E33" s="126">
        <f t="shared" si="12"/>
        <v>3.596495261476651E-2</v>
      </c>
      <c r="F33" s="126">
        <f t="shared" si="12"/>
        <v>3.1627284472651285E-2</v>
      </c>
      <c r="G33" s="126">
        <f t="shared" si="12"/>
        <v>3.4434828964822639E-2</v>
      </c>
      <c r="H33" s="126">
        <f t="shared" si="12"/>
        <v>3.0492512522646509E-2</v>
      </c>
    </row>
    <row r="34" spans="1:9" x14ac:dyDescent="0.2">
      <c r="A34" s="210"/>
      <c r="B34" s="209" t="s">
        <v>232</v>
      </c>
      <c r="C34" s="126">
        <f t="shared" si="10"/>
        <v>-5.0928769260042417E-3</v>
      </c>
      <c r="D34" s="126">
        <f t="shared" si="12"/>
        <v>8.413606625359149E-2</v>
      </c>
      <c r="E34" s="126">
        <f t="shared" si="12"/>
        <v>2.2044729927052531E-2</v>
      </c>
      <c r="F34" s="126">
        <f t="shared" si="12"/>
        <v>2.3404967281448696E-2</v>
      </c>
      <c r="G34" s="126">
        <f t="shared" si="12"/>
        <v>2.4968440734097985E-2</v>
      </c>
      <c r="H34" s="126">
        <f t="shared" si="12"/>
        <v>2.71919768279687E-2</v>
      </c>
    </row>
    <row r="35" spans="1:9" ht="14.25" x14ac:dyDescent="0.2">
      <c r="A35" s="17" t="s">
        <v>10</v>
      </c>
      <c r="B35" s="18"/>
      <c r="C35" s="28">
        <f t="shared" si="10"/>
        <v>2.2751729550209543E-2</v>
      </c>
      <c r="D35" s="28">
        <f t="shared" ref="D35:H36" si="13">E16/D16-1</f>
        <v>3.8930383447187911E-2</v>
      </c>
      <c r="E35" s="28">
        <f t="shared" si="13"/>
        <v>3.3396406362335096E-2</v>
      </c>
      <c r="F35" s="28">
        <f t="shared" si="13"/>
        <v>3.3481776627156457E-2</v>
      </c>
      <c r="G35" s="28">
        <f t="shared" si="13"/>
        <v>3.3853625813726751E-2</v>
      </c>
      <c r="H35" s="28">
        <f t="shared" si="13"/>
        <v>3.221724814724336E-2</v>
      </c>
    </row>
    <row r="36" spans="1:9" ht="15" x14ac:dyDescent="0.25">
      <c r="A36" s="595" t="s">
        <v>11</v>
      </c>
      <c r="B36" s="595"/>
      <c r="C36" s="212">
        <f t="shared" si="10"/>
        <v>1.678710834874475E-2</v>
      </c>
      <c r="D36" s="212">
        <f t="shared" si="13"/>
        <v>-0.27714007114474248</v>
      </c>
      <c r="E36" s="212">
        <f t="shared" si="13"/>
        <v>3.2379157969290917E-2</v>
      </c>
      <c r="F36" s="212">
        <f t="shared" si="13"/>
        <v>2.5105148700003355E-2</v>
      </c>
      <c r="G36" s="212">
        <f t="shared" si="13"/>
        <v>7.8307828504990962E-3</v>
      </c>
      <c r="H36" s="212">
        <f t="shared" si="13"/>
        <v>4.5786840159049547E-2</v>
      </c>
    </row>
    <row r="38" spans="1:9" x14ac:dyDescent="0.2">
      <c r="A38" s="27"/>
    </row>
    <row r="40" spans="1:9" ht="14.25" x14ac:dyDescent="0.2">
      <c r="A40" s="590" t="s">
        <v>37</v>
      </c>
      <c r="B40" s="591"/>
      <c r="C40" s="533" t="s">
        <v>23</v>
      </c>
      <c r="D40" s="534" t="s">
        <v>23</v>
      </c>
      <c r="E40" s="592" t="s">
        <v>1</v>
      </c>
      <c r="F40" s="593"/>
      <c r="G40" s="593"/>
      <c r="H40" s="593"/>
      <c r="I40" s="594"/>
    </row>
    <row r="41" spans="1:9" ht="14.25" x14ac:dyDescent="0.2">
      <c r="A41" s="515"/>
      <c r="B41" s="516" t="s">
        <v>2</v>
      </c>
      <c r="C41" s="517">
        <f t="shared" ref="C41:I41" si="14">C4</f>
        <v>2022</v>
      </c>
      <c r="D41" s="518">
        <f t="shared" si="14"/>
        <v>2023</v>
      </c>
      <c r="E41" s="518" t="str">
        <f t="shared" si="14"/>
        <v>2024(p)</v>
      </c>
      <c r="F41" s="518" t="str">
        <f t="shared" si="14"/>
        <v>2025(p)</v>
      </c>
      <c r="G41" s="518" t="str">
        <f t="shared" si="14"/>
        <v>2026(p)</v>
      </c>
      <c r="H41" s="518" t="str">
        <f t="shared" si="14"/>
        <v>2027(p)</v>
      </c>
      <c r="I41" s="518" t="str">
        <f t="shared" si="14"/>
        <v>2028(p)</v>
      </c>
    </row>
    <row r="42" spans="1:9" x14ac:dyDescent="0.2">
      <c r="A42" s="7"/>
      <c r="B42" s="8" t="s">
        <v>12</v>
      </c>
      <c r="C42" s="271">
        <f>[4]Maladie!$H$10</f>
        <v>5028.3106068300012</v>
      </c>
      <c r="D42" s="271">
        <f>[4]Maladie!$I$10</f>
        <v>5134.0496223500004</v>
      </c>
      <c r="E42" s="271">
        <f>[4]Maladie!$R$10</f>
        <v>5282.382805615749</v>
      </c>
      <c r="F42" s="271">
        <f>[4]Maladie!$W$10</f>
        <v>5485.0617576118721</v>
      </c>
      <c r="G42" s="271">
        <f>[4]Maladie!$AB$10</f>
        <v>5723.7296104512388</v>
      </c>
      <c r="H42" s="271">
        <f>[4]Maladie!$AG$10</f>
        <v>5955.5971423190103</v>
      </c>
      <c r="I42" s="271">
        <f>[4]Maladie!$AL$10</f>
        <v>6196.0238931601398</v>
      </c>
    </row>
    <row r="43" spans="1:9" x14ac:dyDescent="0.2">
      <c r="A43" s="10"/>
      <c r="B43" s="11" t="s">
        <v>35</v>
      </c>
      <c r="C43" s="272">
        <f>[4]AT!$H$10</f>
        <v>593.00804479999999</v>
      </c>
      <c r="D43" s="272">
        <f>[4]AT!$I$10</f>
        <v>617.05188923999992</v>
      </c>
      <c r="E43" s="272">
        <f>[4]AT!$R$10</f>
        <v>632.70331849916408</v>
      </c>
      <c r="F43" s="272">
        <f>[4]AT!$W$10</f>
        <v>646.9779869753595</v>
      </c>
      <c r="G43" s="272">
        <f>[4]AT!$AB$10</f>
        <v>662.20608273284859</v>
      </c>
      <c r="H43" s="272">
        <f>[4]AT!$AG$10</f>
        <v>677.358092306191</v>
      </c>
      <c r="I43" s="272">
        <f>[4]AT!$AL$10</f>
        <v>692.41421270427816</v>
      </c>
    </row>
    <row r="44" spans="1:9" x14ac:dyDescent="0.2">
      <c r="A44" s="10"/>
      <c r="B44" s="11" t="s">
        <v>14</v>
      </c>
      <c r="C44" s="272">
        <f>[4]Famille!$H$10</f>
        <v>771.56760064000002</v>
      </c>
      <c r="D44" s="272">
        <f>[4]Famille!$I$10</f>
        <v>715.24798183999997</v>
      </c>
      <c r="E44" s="272">
        <f>[4]Famille!$R$10</f>
        <v>666.16838953923593</v>
      </c>
      <c r="F44" s="272">
        <f>[4]Famille!$W$10</f>
        <v>675.61373864135373</v>
      </c>
      <c r="G44" s="272">
        <f>[4]Famille!$AB$10</f>
        <v>682.19926244849091</v>
      </c>
      <c r="H44" s="272">
        <f>[4]Famille!$AG$10</f>
        <v>681.08437985141779</v>
      </c>
      <c r="I44" s="272">
        <f>[4]Famille!$AL$10</f>
        <v>681.36097729963888</v>
      </c>
    </row>
    <row r="45" spans="1:9" x14ac:dyDescent="0.2">
      <c r="A45" s="12"/>
      <c r="B45" s="13" t="s">
        <v>13</v>
      </c>
      <c r="C45" s="273">
        <f>[4]Vieillesse!$H$10</f>
        <v>6499.3807921200005</v>
      </c>
      <c r="D45" s="273">
        <f>[4]Vieillesse!$I$10</f>
        <v>6815.5706679599989</v>
      </c>
      <c r="E45" s="273">
        <f>[4]Vieillesse!$R$10</f>
        <v>7284.2646268801645</v>
      </c>
      <c r="F45" s="273">
        <f>[4]Vieillesse!$W$10</f>
        <v>7551.4400078241024</v>
      </c>
      <c r="G45" s="273">
        <f>[4]Vieillesse!$AB$10</f>
        <v>7794.5590624373581</v>
      </c>
      <c r="H45" s="273">
        <f>[4]Vieillesse!$AG$10</f>
        <v>8068.0502787270725</v>
      </c>
      <c r="I45" s="273">
        <f>[4]Vieillesse!$AL$10</f>
        <v>8318.1767148734343</v>
      </c>
    </row>
    <row r="46" spans="1:9" x14ac:dyDescent="0.2">
      <c r="A46" s="210"/>
      <c r="B46" s="209" t="s">
        <v>233</v>
      </c>
      <c r="C46" s="274">
        <f>[4]SASPA!$H$10</f>
        <v>655.85460454999998</v>
      </c>
      <c r="D46" s="274">
        <f>[4]SASPA!$I$10</f>
        <v>675.39227533999997</v>
      </c>
      <c r="E46" s="274">
        <f>[4]SASPA!$R$10</f>
        <v>709.75971783775765</v>
      </c>
      <c r="F46" s="274">
        <f>[4]SASPA!$W$10</f>
        <v>726.00347370333941</v>
      </c>
      <c r="G46" s="274">
        <f>[4]SASPA!$AB$10</f>
        <v>742.39234106113383</v>
      </c>
      <c r="H46" s="274">
        <f>[4]SASPA!$AG$10</f>
        <v>761.30138839281744</v>
      </c>
      <c r="I46" s="274">
        <f>[4]SASPA!$AL$10</f>
        <v>782.69979557276633</v>
      </c>
    </row>
    <row r="47" spans="1:9" ht="14.25" x14ac:dyDescent="0.2">
      <c r="A47" s="17" t="s">
        <v>15</v>
      </c>
      <c r="B47" s="18"/>
      <c r="C47" s="29">
        <f>SUM(C42:C46)</f>
        <v>13548.121648940003</v>
      </c>
      <c r="D47" s="29">
        <f t="shared" ref="D47:I47" si="15">SUM(D42:D46)</f>
        <v>13957.312436729999</v>
      </c>
      <c r="E47" s="29">
        <f t="shared" si="15"/>
        <v>14575.278858372072</v>
      </c>
      <c r="F47" s="29">
        <f t="shared" si="15"/>
        <v>15085.096964756029</v>
      </c>
      <c r="G47" s="29">
        <f t="shared" si="15"/>
        <v>15605.08635913107</v>
      </c>
      <c r="H47" s="29">
        <f t="shared" si="15"/>
        <v>16143.391281596509</v>
      </c>
      <c r="I47" s="29">
        <f t="shared" si="15"/>
        <v>16670.675593610256</v>
      </c>
    </row>
    <row r="48" spans="1:9" x14ac:dyDescent="0.2">
      <c r="A48" s="22" t="s">
        <v>21</v>
      </c>
      <c r="B48" s="23"/>
      <c r="C48" s="131">
        <f t="shared" ref="C48:I48" si="16">C47/C10</f>
        <v>0.87618698063775502</v>
      </c>
      <c r="D48" s="131">
        <f t="shared" si="16"/>
        <v>0.88255041366108822</v>
      </c>
      <c r="E48" s="131">
        <f t="shared" si="16"/>
        <v>0.88605794147562511</v>
      </c>
      <c r="F48" s="131">
        <f t="shared" si="16"/>
        <v>0.88741194540365986</v>
      </c>
      <c r="G48" s="131">
        <f t="shared" si="16"/>
        <v>0.88824168835834028</v>
      </c>
      <c r="H48" s="131">
        <f t="shared" si="16"/>
        <v>0.88873410640535744</v>
      </c>
      <c r="I48" s="131">
        <f t="shared" si="16"/>
        <v>0.88914757628910579</v>
      </c>
    </row>
    <row r="49" spans="1:9" x14ac:dyDescent="0.2">
      <c r="A49" s="7"/>
      <c r="B49" s="8" t="s">
        <v>16</v>
      </c>
      <c r="C49" s="275">
        <f>[4]Maladie!$H$158</f>
        <v>1627.74614486</v>
      </c>
      <c r="D49" s="271">
        <f>[4]Maladie!$I$158</f>
        <v>1718.7206791599999</v>
      </c>
      <c r="E49" s="271">
        <f>[4]Maladie!$R$158</f>
        <v>1762.4575150897617</v>
      </c>
      <c r="F49" s="271">
        <f>[4]Maladie!$W$158</f>
        <v>1797.186584201065</v>
      </c>
      <c r="G49" s="271">
        <f>[4]Maladie!$AB$158</f>
        <v>1832.69271676587</v>
      </c>
      <c r="H49" s="271">
        <f>[4]Maladie!$AG$158</f>
        <v>1868.0380929807393</v>
      </c>
      <c r="I49" s="271">
        <f>[4]Maladie!$AL$158</f>
        <v>1903.1080979303567</v>
      </c>
    </row>
    <row r="50" spans="1:9" x14ac:dyDescent="0.2">
      <c r="A50" s="10"/>
      <c r="B50" s="154" t="s">
        <v>254</v>
      </c>
      <c r="C50" s="272">
        <f>[4]AT!$H$99</f>
        <v>517.04956264000009</v>
      </c>
      <c r="D50" s="272">
        <f>[4]AT!$I$99</f>
        <v>527.6335978699999</v>
      </c>
      <c r="E50" s="272">
        <f>[4]AT!$R$99</f>
        <v>528.24229611419958</v>
      </c>
      <c r="F50" s="272">
        <f>[4]AT!$W$99</f>
        <v>539.34093858618553</v>
      </c>
      <c r="G50" s="272">
        <f>[4]AT!$AB$99</f>
        <v>551.20881344872259</v>
      </c>
      <c r="H50" s="272">
        <f>[4]AT!$AG$99</f>
        <v>563.48289882920392</v>
      </c>
      <c r="I50" s="272">
        <f>[4]AT!$AL$99</f>
        <v>576.16436433947172</v>
      </c>
    </row>
    <row r="51" spans="1:9" x14ac:dyDescent="0.2">
      <c r="A51" s="10"/>
      <c r="B51" s="11" t="s">
        <v>18</v>
      </c>
      <c r="C51" s="272">
        <f>[4]Famille!$H$92</f>
        <v>667.18409943999995</v>
      </c>
      <c r="D51" s="272">
        <f>[4]Famille!$I$92</f>
        <v>705.25293506999992</v>
      </c>
      <c r="E51" s="272">
        <f>[4]Famille!$R$92</f>
        <v>727.62959918479737</v>
      </c>
      <c r="F51" s="272">
        <f>[4]Famille!$W$92</f>
        <v>741.42484926318707</v>
      </c>
      <c r="G51" s="272">
        <f>[4]Famille!$AB$92</f>
        <v>755.66181239402829</v>
      </c>
      <c r="H51" s="272">
        <f>[4]Famille!$AG$92</f>
        <v>769.66648768077437</v>
      </c>
      <c r="I51" s="272">
        <f>[4]Famille!$AL$92</f>
        <v>783.3746060027371</v>
      </c>
    </row>
    <row r="52" spans="1:9" x14ac:dyDescent="0.2">
      <c r="A52" s="10"/>
      <c r="B52" s="11" t="s">
        <v>17</v>
      </c>
      <c r="C52" s="272">
        <f>[4]Vieillesse!$H$107</f>
        <v>3132.4160716800002</v>
      </c>
      <c r="D52" s="272">
        <f>[4]Vieillesse!$I$107</f>
        <v>3352.37812231</v>
      </c>
      <c r="E52" s="272">
        <f>[4]Vieillesse!$R$107</f>
        <v>3443.9700552472873</v>
      </c>
      <c r="F52" s="272">
        <f>[4]Vieillesse!$W$107</f>
        <v>3512.4640887295559</v>
      </c>
      <c r="G52" s="272">
        <f>[4]Vieillesse!$AB$107</f>
        <v>3581.285171898046</v>
      </c>
      <c r="H52" s="272">
        <f>[4]Vieillesse!$AG$107</f>
        <v>3650.5238947125549</v>
      </c>
      <c r="I52" s="272">
        <f>[4]Vieillesse!$AL$107</f>
        <v>3719.9725091312648</v>
      </c>
    </row>
    <row r="53" spans="1:9" x14ac:dyDescent="0.2">
      <c r="A53" s="210"/>
      <c r="B53" s="209" t="s">
        <v>234</v>
      </c>
      <c r="C53" s="274">
        <f>[4]SASPA!$H$107</f>
        <v>0</v>
      </c>
      <c r="D53" s="274">
        <f>[4]SASPA!$I$107</f>
        <v>0</v>
      </c>
      <c r="E53" s="274">
        <f>[4]SASPA!$R$107</f>
        <v>0</v>
      </c>
      <c r="F53" s="274">
        <f>[4]SASPA!$W$107</f>
        <v>0</v>
      </c>
      <c r="G53" s="274">
        <f>[4]SASPA!$AB$107</f>
        <v>0</v>
      </c>
      <c r="H53" s="274">
        <f>[4]SASPA!$AG$107</f>
        <v>0</v>
      </c>
      <c r="I53" s="274">
        <f>[4]SASPA!$AL$107</f>
        <v>0</v>
      </c>
    </row>
    <row r="54" spans="1:9" ht="14.25" x14ac:dyDescent="0.2">
      <c r="A54" s="17" t="s">
        <v>19</v>
      </c>
      <c r="B54" s="18"/>
      <c r="C54" s="29">
        <f>SUM(C49:C53)</f>
        <v>5944.3958786200001</v>
      </c>
      <c r="D54" s="29">
        <f t="shared" ref="D54:I54" si="17">SUM(D49:D53)</f>
        <v>6303.9853344099993</v>
      </c>
      <c r="E54" s="29">
        <f t="shared" si="17"/>
        <v>6462.2994656360461</v>
      </c>
      <c r="F54" s="29">
        <f t="shared" si="17"/>
        <v>6590.4164607799939</v>
      </c>
      <c r="G54" s="29">
        <f t="shared" si="17"/>
        <v>6720.848514506667</v>
      </c>
      <c r="H54" s="29">
        <f t="shared" si="17"/>
        <v>6851.7113742032725</v>
      </c>
      <c r="I54" s="29">
        <f t="shared" si="17"/>
        <v>6982.6195774038297</v>
      </c>
    </row>
    <row r="55" spans="1:9" x14ac:dyDescent="0.2">
      <c r="A55" s="22" t="s">
        <v>22</v>
      </c>
      <c r="B55" s="23"/>
      <c r="C55" s="30">
        <f t="shared" ref="C55:I55" si="18">C54/C16</f>
        <v>0.38296101441072267</v>
      </c>
      <c r="D55" s="30">
        <f t="shared" si="18"/>
        <v>0.39709261658421452</v>
      </c>
      <c r="E55" s="30">
        <f t="shared" si="18"/>
        <v>0.39181156430123887</v>
      </c>
      <c r="F55" s="30">
        <f t="shared" si="18"/>
        <v>0.38666608650906614</v>
      </c>
      <c r="G55" s="30">
        <f t="shared" si="18"/>
        <v>0.38154389341682954</v>
      </c>
      <c r="H55" s="30">
        <f t="shared" si="18"/>
        <v>0.37623604929649468</v>
      </c>
      <c r="I55" s="30">
        <f t="shared" si="18"/>
        <v>0.37145705839346704</v>
      </c>
    </row>
    <row r="57" spans="1:9" ht="14.25" x14ac:dyDescent="0.2">
      <c r="A57" s="590" t="s">
        <v>37</v>
      </c>
      <c r="B57" s="591"/>
      <c r="C57" s="530" t="s">
        <v>23</v>
      </c>
      <c r="D57" s="597" t="s">
        <v>1</v>
      </c>
      <c r="E57" s="597"/>
      <c r="F57" s="597"/>
      <c r="G57" s="597"/>
      <c r="H57" s="597"/>
    </row>
    <row r="58" spans="1:9" ht="14.25" x14ac:dyDescent="0.2">
      <c r="A58" s="515"/>
      <c r="B58" s="531" t="s">
        <v>0</v>
      </c>
      <c r="C58" s="532" t="str">
        <f t="shared" ref="C58:H58" si="19">C23</f>
        <v>2023/2022</v>
      </c>
      <c r="D58" s="532" t="str">
        <f t="shared" si="19"/>
        <v>2024/2023</v>
      </c>
      <c r="E58" s="532" t="str">
        <f t="shared" si="19"/>
        <v>2025/2024</v>
      </c>
      <c r="F58" s="532" t="str">
        <f t="shared" si="19"/>
        <v>2026/2025</v>
      </c>
      <c r="G58" s="532" t="str">
        <f t="shared" si="19"/>
        <v>2027/2026</v>
      </c>
      <c r="H58" s="532" t="str">
        <f t="shared" si="19"/>
        <v>2028/2027</v>
      </c>
    </row>
    <row r="59" spans="1:9" x14ac:dyDescent="0.2">
      <c r="A59" s="7"/>
      <c r="B59" s="8" t="s">
        <v>12</v>
      </c>
      <c r="C59" s="127">
        <f t="shared" ref="C59:H59" si="20">D42/C42-1</f>
        <v>2.1028735849446756E-2</v>
      </c>
      <c r="D59" s="127">
        <f t="shared" si="20"/>
        <v>2.8892043158291969E-2</v>
      </c>
      <c r="E59" s="127">
        <f t="shared" si="20"/>
        <v>3.8368849713173558E-2</v>
      </c>
      <c r="F59" s="127">
        <f t="shared" si="20"/>
        <v>4.3512336485210357E-2</v>
      </c>
      <c r="G59" s="127">
        <f t="shared" si="20"/>
        <v>4.0509868153868256E-2</v>
      </c>
      <c r="H59" s="127">
        <f t="shared" si="20"/>
        <v>4.0369881490592396E-2</v>
      </c>
    </row>
    <row r="60" spans="1:9" x14ac:dyDescent="0.2">
      <c r="A60" s="10"/>
      <c r="B60" s="13" t="s">
        <v>35</v>
      </c>
      <c r="C60" s="127">
        <f t="shared" ref="C60:H60" si="21">D43/C43-1</f>
        <v>4.0545561988301504E-2</v>
      </c>
      <c r="D60" s="127">
        <f t="shared" si="21"/>
        <v>2.5364851047521286E-2</v>
      </c>
      <c r="E60" s="127">
        <f t="shared" si="21"/>
        <v>2.2561393403240482E-2</v>
      </c>
      <c r="F60" s="127">
        <f t="shared" si="21"/>
        <v>2.3537270299845758E-2</v>
      </c>
      <c r="G60" s="127">
        <f t="shared" si="21"/>
        <v>2.2881109020943757E-2</v>
      </c>
      <c r="H60" s="127">
        <f t="shared" si="21"/>
        <v>2.222771170685478E-2</v>
      </c>
    </row>
    <row r="61" spans="1:9" x14ac:dyDescent="0.2">
      <c r="A61" s="10"/>
      <c r="B61" s="11" t="s">
        <v>14</v>
      </c>
      <c r="C61" s="127">
        <f t="shared" ref="C61:H63" si="22">D44/C44-1</f>
        <v>-7.2993758101408179E-2</v>
      </c>
      <c r="D61" s="127">
        <f t="shared" si="22"/>
        <v>-6.8618987465724923E-2</v>
      </c>
      <c r="E61" s="127">
        <f t="shared" si="22"/>
        <v>1.4178620976973644E-2</v>
      </c>
      <c r="F61" s="127">
        <f t="shared" si="22"/>
        <v>9.7474687539369498E-3</v>
      </c>
      <c r="G61" s="127">
        <f t="shared" si="22"/>
        <v>-1.6342477314790216E-3</v>
      </c>
      <c r="H61" s="127">
        <f t="shared" si="22"/>
        <v>4.0611333397699845E-4</v>
      </c>
    </row>
    <row r="62" spans="1:9" x14ac:dyDescent="0.2">
      <c r="A62" s="12"/>
      <c r="B62" s="11" t="s">
        <v>13</v>
      </c>
      <c r="C62" s="127">
        <f>D45/C45-1</f>
        <v>4.8649230742620064E-2</v>
      </c>
      <c r="D62" s="127">
        <f t="shared" si="22"/>
        <v>6.8768116677814906E-2</v>
      </c>
      <c r="E62" s="127">
        <f t="shared" si="22"/>
        <v>3.6678428726767409E-2</v>
      </c>
      <c r="F62" s="127">
        <f t="shared" si="22"/>
        <v>3.2195058738645699E-2</v>
      </c>
      <c r="G62" s="127">
        <f t="shared" si="22"/>
        <v>3.5087451913436984E-2</v>
      </c>
      <c r="H62" s="127">
        <f t="shared" si="22"/>
        <v>3.1002091893981731E-2</v>
      </c>
    </row>
    <row r="63" spans="1:9" x14ac:dyDescent="0.2">
      <c r="A63" s="210"/>
      <c r="B63" s="119" t="str">
        <f>B46</f>
        <v>Prestations SASPA</v>
      </c>
      <c r="C63" s="127">
        <f>D46/C46-1</f>
        <v>2.9789637298354155E-2</v>
      </c>
      <c r="D63" s="127">
        <f t="shared" si="22"/>
        <v>5.0885157785461432E-2</v>
      </c>
      <c r="E63" s="127">
        <f t="shared" si="22"/>
        <v>2.2886274688943331E-2</v>
      </c>
      <c r="F63" s="127">
        <f t="shared" si="22"/>
        <v>2.257408945193462E-2</v>
      </c>
      <c r="G63" s="127">
        <f t="shared" si="22"/>
        <v>2.5470423502290007E-2</v>
      </c>
      <c r="H63" s="127">
        <f t="shared" si="22"/>
        <v>2.8107668666049745E-2</v>
      </c>
    </row>
    <row r="64" spans="1:9" ht="14.25" x14ac:dyDescent="0.2">
      <c r="A64" s="17" t="s">
        <v>15</v>
      </c>
      <c r="B64" s="21"/>
      <c r="C64" s="124">
        <f t="shared" ref="C64:H64" si="23">D47/C47-1</f>
        <v>3.0202768944137093E-2</v>
      </c>
      <c r="D64" s="124">
        <f t="shared" si="23"/>
        <v>4.427545950865408E-2</v>
      </c>
      <c r="E64" s="124">
        <f t="shared" si="23"/>
        <v>3.4978274607152082E-2</v>
      </c>
      <c r="F64" s="124">
        <f t="shared" si="23"/>
        <v>3.4470404505182461E-2</v>
      </c>
      <c r="G64" s="124">
        <f t="shared" si="23"/>
        <v>3.4495478594417373E-2</v>
      </c>
      <c r="H64" s="124">
        <f t="shared" si="23"/>
        <v>3.2662549201471158E-2</v>
      </c>
    </row>
    <row r="65" spans="1:8" x14ac:dyDescent="0.2">
      <c r="A65" s="7"/>
      <c r="B65" s="8" t="s">
        <v>16</v>
      </c>
      <c r="C65" s="127">
        <f t="shared" ref="C65:H65" si="24">D49/C49-1</f>
        <v>5.5889878521459879E-2</v>
      </c>
      <c r="D65" s="127">
        <f t="shared" si="24"/>
        <v>2.5447320475097568E-2</v>
      </c>
      <c r="E65" s="127">
        <f t="shared" si="24"/>
        <v>1.970491136039354E-2</v>
      </c>
      <c r="F65" s="127">
        <f t="shared" si="24"/>
        <v>1.9756508799329442E-2</v>
      </c>
      <c r="G65" s="127">
        <f t="shared" si="24"/>
        <v>1.928603518283345E-2</v>
      </c>
      <c r="H65" s="127">
        <f t="shared" si="24"/>
        <v>1.8773709744675404E-2</v>
      </c>
    </row>
    <row r="66" spans="1:8" x14ac:dyDescent="0.2">
      <c r="A66" s="10"/>
      <c r="B66" s="13" t="s">
        <v>36</v>
      </c>
      <c r="C66" s="127">
        <f t="shared" ref="C66:H67" si="25">D50/C50-1</f>
        <v>2.0470059342007518E-2</v>
      </c>
      <c r="D66" s="127">
        <f t="shared" si="25"/>
        <v>1.1536381433194798E-3</v>
      </c>
      <c r="E66" s="127">
        <f t="shared" si="25"/>
        <v>2.1010514594587804E-2</v>
      </c>
      <c r="F66" s="127">
        <f t="shared" si="25"/>
        <v>2.2004402064577544E-2</v>
      </c>
      <c r="G66" s="127">
        <f t="shared" si="25"/>
        <v>2.2267578240787955E-2</v>
      </c>
      <c r="H66" s="127">
        <f t="shared" si="25"/>
        <v>2.2505502006568756E-2</v>
      </c>
    </row>
    <row r="67" spans="1:8" x14ac:dyDescent="0.2">
      <c r="A67" s="10"/>
      <c r="B67" s="11" t="s">
        <v>18</v>
      </c>
      <c r="C67" s="127">
        <f t="shared" si="25"/>
        <v>5.7058967175556141E-2</v>
      </c>
      <c r="D67" s="127">
        <f t="shared" si="25"/>
        <v>3.1728565741561132E-2</v>
      </c>
      <c r="E67" s="127">
        <f t="shared" si="25"/>
        <v>1.8959165616469154E-2</v>
      </c>
      <c r="F67" s="127">
        <f t="shared" si="25"/>
        <v>1.9202166133209131E-2</v>
      </c>
      <c r="G67" s="127">
        <f t="shared" si="25"/>
        <v>1.8532993274303022E-2</v>
      </c>
      <c r="H67" s="127">
        <f t="shared" si="25"/>
        <v>1.7810465365679651E-2</v>
      </c>
    </row>
    <row r="68" spans="1:8" x14ac:dyDescent="0.2">
      <c r="A68" s="10"/>
      <c r="B68" s="11" t="s">
        <v>17</v>
      </c>
      <c r="C68" s="127">
        <f t="shared" ref="C68:H70" si="26">D52/C52-1</f>
        <v>7.0221211230099501E-2</v>
      </c>
      <c r="D68" s="127">
        <f t="shared" si="26"/>
        <v>2.7321480332944903E-2</v>
      </c>
      <c r="E68" s="127">
        <f t="shared" si="26"/>
        <v>1.9888103666264367E-2</v>
      </c>
      <c r="F68" s="127">
        <f t="shared" si="26"/>
        <v>1.9593391257526571E-2</v>
      </c>
      <c r="G68" s="127">
        <f t="shared" si="26"/>
        <v>1.9333484905870613E-2</v>
      </c>
      <c r="H68" s="127">
        <f t="shared" si="26"/>
        <v>1.9024287039813625E-2</v>
      </c>
    </row>
    <row r="69" spans="1:8" x14ac:dyDescent="0.2">
      <c r="A69" s="210"/>
      <c r="B69" s="119" t="str">
        <f>B53</f>
        <v>Cotsations SASPA</v>
      </c>
      <c r="C69" s="127" t="e">
        <f t="shared" si="26"/>
        <v>#DIV/0!</v>
      </c>
      <c r="D69" s="127" t="e">
        <f t="shared" si="26"/>
        <v>#DIV/0!</v>
      </c>
      <c r="E69" s="127" t="e">
        <f t="shared" si="26"/>
        <v>#DIV/0!</v>
      </c>
      <c r="F69" s="127" t="e">
        <f t="shared" si="26"/>
        <v>#DIV/0!</v>
      </c>
      <c r="G69" s="127" t="e">
        <f t="shared" si="26"/>
        <v>#DIV/0!</v>
      </c>
      <c r="H69" s="127" t="e">
        <f t="shared" si="26"/>
        <v>#DIV/0!</v>
      </c>
    </row>
    <row r="70" spans="1:8" ht="14.25" x14ac:dyDescent="0.2">
      <c r="A70" s="17" t="s">
        <v>19</v>
      </c>
      <c r="B70" s="21"/>
      <c r="C70" s="124">
        <f t="shared" si="26"/>
        <v>6.0492178369768723E-2</v>
      </c>
      <c r="D70" s="124">
        <f t="shared" si="26"/>
        <v>2.5113340661168326E-2</v>
      </c>
      <c r="E70" s="124">
        <f t="shared" si="26"/>
        <v>1.9825295287725808E-2</v>
      </c>
      <c r="F70" s="124">
        <f t="shared" si="26"/>
        <v>1.9791170179135564E-2</v>
      </c>
      <c r="G70" s="124">
        <f t="shared" si="26"/>
        <v>1.9471181267386672E-2</v>
      </c>
      <c r="H70" s="124">
        <f t="shared" si="26"/>
        <v>1.910591326036104E-2</v>
      </c>
    </row>
  </sheetData>
  <mergeCells count="14">
    <mergeCell ref="N3:R3"/>
    <mergeCell ref="A3:B3"/>
    <mergeCell ref="E3:I3"/>
    <mergeCell ref="A17:B17"/>
    <mergeCell ref="A57:B57"/>
    <mergeCell ref="D57:H57"/>
    <mergeCell ref="A22:B22"/>
    <mergeCell ref="D22:H22"/>
    <mergeCell ref="A36:B36"/>
    <mergeCell ref="A40:B40"/>
    <mergeCell ref="E40:I40"/>
    <mergeCell ref="N20:R20"/>
    <mergeCell ref="M12:N12"/>
    <mergeCell ref="O12:S12"/>
  </mergeCells>
  <phoneticPr fontId="4" type="noConversion"/>
  <pageMargins left="0.78740157499999996" right="0.78740157499999996" top="0.984251969" bottom="0.984251969" header="0.4921259845" footer="0.4921259845"/>
  <pageSetup paperSize="9" orientation="portrait" horizontalDpi="4294967295" verticalDpi="4294967295"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M90"/>
  <sheetViews>
    <sheetView zoomScale="90" zoomScaleNormal="90" workbookViewId="0">
      <pane xSplit="1" ySplit="1" topLeftCell="B2" activePane="bottomRight" state="frozen"/>
      <selection activeCell="A42" sqref="A42"/>
      <selection pane="topRight" activeCell="A42" sqref="A42"/>
      <selection pane="bottomLeft" activeCell="A42" sqref="A42"/>
      <selection pane="bottomRight"/>
    </sheetView>
  </sheetViews>
  <sheetFormatPr baseColWidth="10" defaultRowHeight="12.75" x14ac:dyDescent="0.2"/>
  <cols>
    <col min="1" max="1" width="30.5703125" customWidth="1"/>
    <col min="2" max="3" width="17.85546875" bestFit="1" customWidth="1"/>
    <col min="4" max="4" width="18.140625" bestFit="1" customWidth="1"/>
    <col min="5" max="5" width="17.85546875" bestFit="1" customWidth="1"/>
    <col min="6" max="8" width="18.140625" bestFit="1" customWidth="1"/>
    <col min="9" max="9" width="26.28515625" bestFit="1" customWidth="1"/>
    <col min="13" max="13" width="10.85546875" bestFit="1" customWidth="1"/>
  </cols>
  <sheetData>
    <row r="1" spans="1:8" x14ac:dyDescent="0.2">
      <c r="A1" s="54"/>
      <c r="B1" s="512" t="s">
        <v>149</v>
      </c>
      <c r="C1" s="512" t="s">
        <v>272</v>
      </c>
      <c r="D1" s="513" t="s">
        <v>255</v>
      </c>
      <c r="E1" s="513" t="s">
        <v>256</v>
      </c>
      <c r="F1" s="513" t="s">
        <v>257</v>
      </c>
      <c r="G1" s="513" t="s">
        <v>258</v>
      </c>
      <c r="H1" s="513" t="s">
        <v>273</v>
      </c>
    </row>
    <row r="2" spans="1:8" x14ac:dyDescent="0.2">
      <c r="A2" s="55" t="s">
        <v>40</v>
      </c>
      <c r="B2" s="508">
        <f>TableauxNote!C5</f>
        <v>6106.6009445300006</v>
      </c>
      <c r="C2" s="508">
        <f>TableauxNote!D5</f>
        <v>6137.2472051500008</v>
      </c>
      <c r="D2" s="87">
        <f>TableauxNote!E5</f>
        <v>6313.3870358075874</v>
      </c>
      <c r="E2" s="87">
        <f>TableauxNote!F5</f>
        <v>6537.3302567347409</v>
      </c>
      <c r="F2" s="87">
        <f>TableauxNote!G5</f>
        <v>6804.2397632770089</v>
      </c>
      <c r="G2" s="87">
        <f>TableauxNote!H5</f>
        <v>7064.6230927348306</v>
      </c>
      <c r="H2" s="87">
        <f>TableauxNote!I5</f>
        <v>7334.4902269769427</v>
      </c>
    </row>
    <row r="3" spans="1:8" x14ac:dyDescent="0.2">
      <c r="A3" s="55" t="s">
        <v>41</v>
      </c>
      <c r="B3" s="508">
        <f>TableauxNote!C6</f>
        <v>740.97023516000002</v>
      </c>
      <c r="C3" s="508">
        <f>TableauxNote!D6</f>
        <v>766.76793252999994</v>
      </c>
      <c r="D3" s="87">
        <f>TableauxNote!E6</f>
        <v>782.97544573976472</v>
      </c>
      <c r="E3" s="87">
        <f>TableauxNote!F6</f>
        <v>800.5497772695287</v>
      </c>
      <c r="F3" s="87">
        <f>TableauxNote!G6</f>
        <v>819.07146146908735</v>
      </c>
      <c r="G3" s="87">
        <f>TableauxNote!H6</f>
        <v>837.61015036970787</v>
      </c>
      <c r="H3" s="87">
        <f>TableauxNote!I6</f>
        <v>856.17002165060933</v>
      </c>
    </row>
    <row r="4" spans="1:8" x14ac:dyDescent="0.2">
      <c r="A4" s="55" t="s">
        <v>42</v>
      </c>
      <c r="B4" s="508">
        <f>TableauxNote!C7</f>
        <v>1023.51358857</v>
      </c>
      <c r="C4" s="508">
        <f>TableauxNote!D7</f>
        <v>981.95520630999999</v>
      </c>
      <c r="D4" s="87">
        <f>TableauxNote!E7</f>
        <v>985.32529777899936</v>
      </c>
      <c r="E4" s="87">
        <f>TableauxNote!F7</f>
        <v>1002.7348904973385</v>
      </c>
      <c r="F4" s="87">
        <f>TableauxNote!G7</f>
        <v>1019.3226791601655</v>
      </c>
      <c r="G4" s="87">
        <f>TableauxNote!H7</f>
        <v>1036.4559184185941</v>
      </c>
      <c r="H4" s="87">
        <f>TableauxNote!I7</f>
        <v>1053.9499639408125</v>
      </c>
    </row>
    <row r="5" spans="1:8" x14ac:dyDescent="0.2">
      <c r="A5" s="55" t="s">
        <v>43</v>
      </c>
      <c r="B5" s="508">
        <f>TableauxNote!C8</f>
        <v>6893.7466213700009</v>
      </c>
      <c r="C5" s="508">
        <f>TableauxNote!D8</f>
        <v>7234.5708767199994</v>
      </c>
      <c r="D5" s="87">
        <f>TableauxNote!E8</f>
        <v>7615.2751465405745</v>
      </c>
      <c r="E5" s="87">
        <f>TableauxNote!F8</f>
        <v>7889.1581563343134</v>
      </c>
      <c r="F5" s="87">
        <f>TableauxNote!G8</f>
        <v>8138.6708055944364</v>
      </c>
      <c r="G5" s="87">
        <f>TableauxNote!H8</f>
        <v>8418.9245427860769</v>
      </c>
      <c r="H5" s="87">
        <f>TableauxNote!I8</f>
        <v>8675.6387048341967</v>
      </c>
    </row>
    <row r="6" spans="1:8" x14ac:dyDescent="0.2">
      <c r="A6" s="55" t="s">
        <v>236</v>
      </c>
      <c r="B6" s="508">
        <f>TableauxNote!C9</f>
        <v>697.76044102999992</v>
      </c>
      <c r="C6" s="508">
        <f>TableauxNote!D9</f>
        <v>694.20683297999994</v>
      </c>
      <c r="D6" s="87">
        <f>TableauxNote!E9</f>
        <v>752.61466507330113</v>
      </c>
      <c r="E6" s="87">
        <f>TableauxNote!F9</f>
        <v>769.2058521039811</v>
      </c>
      <c r="F6" s="87">
        <f>TableauxNote!G9</f>
        <v>787.20908990517364</v>
      </c>
      <c r="G6" s="87">
        <f>TableauxNote!H9</f>
        <v>806.86447341181406</v>
      </c>
      <c r="H6" s="87">
        <f>TableauxNote!I9</f>
        <v>828.80471347613923</v>
      </c>
    </row>
    <row r="7" spans="1:8" x14ac:dyDescent="0.2">
      <c r="A7" s="56" t="s">
        <v>44</v>
      </c>
      <c r="B7" s="509">
        <f>SUM(B2:B6)</f>
        <v>15462.591830660002</v>
      </c>
      <c r="C7" s="509">
        <f t="shared" ref="C7:H7" si="0">SUM(C2:C6)</f>
        <v>15814.74805369</v>
      </c>
      <c r="D7" s="88">
        <f t="shared" si="0"/>
        <v>16449.577590940229</v>
      </c>
      <c r="E7" s="88">
        <f t="shared" si="0"/>
        <v>16998.978932939903</v>
      </c>
      <c r="F7" s="88">
        <f t="shared" si="0"/>
        <v>17568.513799405871</v>
      </c>
      <c r="G7" s="88">
        <f t="shared" si="0"/>
        <v>18164.478177721023</v>
      </c>
      <c r="H7" s="88">
        <f t="shared" si="0"/>
        <v>18749.053630878701</v>
      </c>
    </row>
    <row r="8" spans="1:8" x14ac:dyDescent="0.2">
      <c r="A8" s="56" t="s">
        <v>45</v>
      </c>
      <c r="B8" s="510">
        <f>TableauxNote!C10</f>
        <v>15462.591830660002</v>
      </c>
      <c r="C8" s="510">
        <f>TableauxNote!D10</f>
        <v>15814.74805369</v>
      </c>
      <c r="D8" s="86">
        <f>TableauxNote!E10</f>
        <v>16449.577590940229</v>
      </c>
      <c r="E8" s="86">
        <f>TableauxNote!F10</f>
        <v>16998.978932939903</v>
      </c>
      <c r="F8" s="86">
        <f>TableauxNote!G10</f>
        <v>17568.513799405871</v>
      </c>
      <c r="G8" s="86">
        <f>TableauxNote!H10</f>
        <v>18164.478177721023</v>
      </c>
      <c r="H8" s="86">
        <f>TableauxNote!I10</f>
        <v>18749.053630878701</v>
      </c>
    </row>
    <row r="9" spans="1:8" x14ac:dyDescent="0.2">
      <c r="A9" s="56"/>
      <c r="B9" s="510"/>
      <c r="C9" s="510"/>
      <c r="D9" s="86"/>
      <c r="E9" s="86"/>
      <c r="F9" s="86"/>
      <c r="G9" s="86"/>
      <c r="H9" s="86"/>
    </row>
    <row r="10" spans="1:8" x14ac:dyDescent="0.2">
      <c r="A10" t="s">
        <v>46</v>
      </c>
      <c r="B10" s="197">
        <f>TableauxNote!C11</f>
        <v>6106.6009445300006</v>
      </c>
      <c r="C10" s="197">
        <f>TableauxNote!D11</f>
        <v>6137.2472051499999</v>
      </c>
      <c r="D10" s="89">
        <f>TableauxNote!E11</f>
        <v>6313.3870358075874</v>
      </c>
      <c r="E10" s="89">
        <f>TableauxNote!F11</f>
        <v>6537.3302567347409</v>
      </c>
      <c r="F10" s="89">
        <f>TableauxNote!G11</f>
        <v>6804.2397632770089</v>
      </c>
      <c r="G10" s="89">
        <f>TableauxNote!H11</f>
        <v>7064.6230927348306</v>
      </c>
      <c r="H10" s="89">
        <f>TableauxNote!I11</f>
        <v>7334.4902269769418</v>
      </c>
    </row>
    <row r="11" spans="1:8" x14ac:dyDescent="0.2">
      <c r="A11" t="s">
        <v>47</v>
      </c>
      <c r="B11" s="197">
        <f>TableauxNote!C12</f>
        <v>800.57428067000001</v>
      </c>
      <c r="C11" s="197">
        <f>TableauxNote!D12</f>
        <v>827.33309961999987</v>
      </c>
      <c r="D11" s="89">
        <f>TableauxNote!E12</f>
        <v>826.78410071339567</v>
      </c>
      <c r="E11" s="89">
        <f>TableauxNote!F12</f>
        <v>845.77691960296988</v>
      </c>
      <c r="F11" s="89">
        <f>TableauxNote!G12</f>
        <v>865.43403793608547</v>
      </c>
      <c r="G11" s="89">
        <f>TableauxNote!H12</f>
        <v>884.33578210540838</v>
      </c>
      <c r="H11" s="89">
        <f>TableauxNote!I12</f>
        <v>905.03507241792465</v>
      </c>
    </row>
    <row r="12" spans="1:8" x14ac:dyDescent="0.2">
      <c r="A12" t="s">
        <v>48</v>
      </c>
      <c r="B12" s="197">
        <f>TableauxNote!C13</f>
        <v>1023.5135885699997</v>
      </c>
      <c r="C12" s="197">
        <f>TableauxNote!D13</f>
        <v>981.95520630999999</v>
      </c>
      <c r="D12" s="89">
        <f>TableauxNote!E13</f>
        <v>985.32529777899924</v>
      </c>
      <c r="E12" s="89">
        <f>TableauxNote!F13</f>
        <v>1002.7348904973385</v>
      </c>
      <c r="F12" s="89">
        <f>TableauxNote!G13</f>
        <v>1019.3226791601655</v>
      </c>
      <c r="G12" s="89">
        <f>TableauxNote!H13</f>
        <v>1036.4559184185944</v>
      </c>
      <c r="H12" s="89">
        <f>TableauxNote!I13</f>
        <v>1053.9499639408125</v>
      </c>
    </row>
    <row r="13" spans="1:8" x14ac:dyDescent="0.2">
      <c r="A13" t="s">
        <v>49</v>
      </c>
      <c r="B13" s="197">
        <f>TableauxNote!C14</f>
        <v>6893.7466213700009</v>
      </c>
      <c r="C13" s="197">
        <f>TableauxNote!D14</f>
        <v>7234.6103347100006</v>
      </c>
      <c r="D13" s="89">
        <f>TableauxNote!E14</f>
        <v>7615.2751465405736</v>
      </c>
      <c r="E13" s="89">
        <f>TableauxNote!F14</f>
        <v>7889.1581563343143</v>
      </c>
      <c r="F13" s="89">
        <f>TableauxNote!G14</f>
        <v>8138.6708055944373</v>
      </c>
      <c r="G13" s="89">
        <f>TableauxNote!H14</f>
        <v>8418.9245427860769</v>
      </c>
      <c r="H13" s="89">
        <f>TableauxNote!I14</f>
        <v>8675.6387048341967</v>
      </c>
    </row>
    <row r="14" spans="1:8" x14ac:dyDescent="0.2">
      <c r="A14" s="128" t="s">
        <v>237</v>
      </c>
      <c r="B14" s="197">
        <f>TableauxNote!C15</f>
        <v>697.76044103000015</v>
      </c>
      <c r="C14" s="197">
        <f>TableauxNote!D15</f>
        <v>694.20683297999994</v>
      </c>
      <c r="D14" s="89">
        <f>TableauxNote!E15</f>
        <v>752.61466507330113</v>
      </c>
      <c r="E14" s="89">
        <f>TableauxNote!F15</f>
        <v>769.2058521039811</v>
      </c>
      <c r="F14" s="89">
        <f>TableauxNote!G15</f>
        <v>787.20908990517364</v>
      </c>
      <c r="G14" s="89">
        <f>TableauxNote!H15</f>
        <v>806.86447341181417</v>
      </c>
      <c r="H14" s="89">
        <f>TableauxNote!I15</f>
        <v>828.80471347613934</v>
      </c>
    </row>
    <row r="15" spans="1:8" s="112" customFormat="1" x14ac:dyDescent="0.2">
      <c r="A15" s="123" t="s">
        <v>50</v>
      </c>
      <c r="B15" s="197">
        <f>SUM(B10:B14)</f>
        <v>15522.195876170003</v>
      </c>
      <c r="C15" s="197">
        <f t="shared" ref="C15:H15" si="1">SUM(C10:C14)</f>
        <v>15875.352678770001</v>
      </c>
      <c r="D15" s="197">
        <f t="shared" si="1"/>
        <v>16493.386245913858</v>
      </c>
      <c r="E15" s="197">
        <f t="shared" si="1"/>
        <v>17044.206075273345</v>
      </c>
      <c r="F15" s="197">
        <f t="shared" si="1"/>
        <v>17614.876375872871</v>
      </c>
      <c r="G15" s="197">
        <f t="shared" si="1"/>
        <v>18211.203809456725</v>
      </c>
      <c r="H15" s="197">
        <f t="shared" si="1"/>
        <v>18797.918681646017</v>
      </c>
    </row>
    <row r="16" spans="1:8" x14ac:dyDescent="0.2">
      <c r="A16" s="58" t="s">
        <v>45</v>
      </c>
      <c r="B16" s="511">
        <f>TableauxNote!C16</f>
        <v>15522.195876170003</v>
      </c>
      <c r="C16" s="511">
        <f>TableauxNote!D16</f>
        <v>15875.352678770001</v>
      </c>
      <c r="D16" s="90">
        <f>TableauxNote!E16</f>
        <v>16493.386245913858</v>
      </c>
      <c r="E16" s="90">
        <f>TableauxNote!F16</f>
        <v>17044.206075273345</v>
      </c>
      <c r="F16" s="90">
        <f>TableauxNote!G16</f>
        <v>17614.876375872871</v>
      </c>
      <c r="G16" s="90">
        <f>TableauxNote!H16</f>
        <v>18211.203809456725</v>
      </c>
      <c r="H16" s="90">
        <f>TableauxNote!I16</f>
        <v>18797.918681646017</v>
      </c>
    </row>
    <row r="17" spans="1:13" x14ac:dyDescent="0.2">
      <c r="A17" s="58"/>
      <c r="B17" s="511"/>
      <c r="C17" s="511"/>
      <c r="D17" s="90"/>
      <c r="E17" s="90"/>
      <c r="F17" s="90"/>
      <c r="G17" s="90"/>
      <c r="H17" s="90"/>
    </row>
    <row r="18" spans="1:13" x14ac:dyDescent="0.2">
      <c r="A18" s="59" t="s">
        <v>51</v>
      </c>
      <c r="B18" s="196">
        <f>[4]Maladie!$H$199</f>
        <v>0</v>
      </c>
      <c r="C18" s="196">
        <f>[4]Maladie!$I$199</f>
        <v>0</v>
      </c>
      <c r="D18" s="196">
        <f>[4]Maladie!$R$199</f>
        <v>0</v>
      </c>
      <c r="E18" s="196">
        <f>[4]Maladie!$W$199</f>
        <v>0</v>
      </c>
      <c r="F18" s="196">
        <f>[4]Maladie!$AB$199</f>
        <v>0</v>
      </c>
      <c r="G18" s="196">
        <f>[4]Maladie!$AG$199</f>
        <v>0</v>
      </c>
      <c r="H18" s="196">
        <f>[4]Maladie!$AL$199</f>
        <v>0</v>
      </c>
      <c r="I18" s="506" t="s">
        <v>122</v>
      </c>
      <c r="J18" s="128"/>
      <c r="M18" s="165"/>
    </row>
    <row r="19" spans="1:13" x14ac:dyDescent="0.2">
      <c r="A19" s="59" t="s">
        <v>52</v>
      </c>
      <c r="B19" s="196">
        <f>[4]AT!$H$139</f>
        <v>11.665937100000001</v>
      </c>
      <c r="C19" s="196">
        <f>[4]AT!$I$139</f>
        <v>18.156489730000001</v>
      </c>
      <c r="D19" s="196">
        <f>[4]AT!$R$139</f>
        <v>18.065707281350001</v>
      </c>
      <c r="E19" s="196">
        <f>[4]AT!$W$139</f>
        <v>19.260250647278227</v>
      </c>
      <c r="F19" s="196">
        <f>[4]AT!$AB$139</f>
        <v>19.829446182991887</v>
      </c>
      <c r="G19" s="196">
        <f>[4]AT!$AG$139</f>
        <v>20.436710887997474</v>
      </c>
      <c r="H19" s="196">
        <f>[4]AT!$AL$139</f>
        <v>21.079745043934039</v>
      </c>
      <c r="I19" s="506" t="s">
        <v>122</v>
      </c>
    </row>
    <row r="20" spans="1:13" x14ac:dyDescent="0.2">
      <c r="A20" s="59" t="s">
        <v>53</v>
      </c>
      <c r="B20" s="196">
        <f>[4]Famille!$H$122</f>
        <v>0</v>
      </c>
      <c r="C20" s="196">
        <f>[4]Famille!$I$122</f>
        <v>0</v>
      </c>
      <c r="D20" s="196">
        <f>[4]Famille!$R$122</f>
        <v>0</v>
      </c>
      <c r="E20" s="196">
        <f>[4]Famille!$W$122</f>
        <v>0</v>
      </c>
      <c r="F20" s="196">
        <f>[4]Famille!$AB$122</f>
        <v>0</v>
      </c>
      <c r="G20" s="196">
        <f>[4]Famille!$AG$122</f>
        <v>0</v>
      </c>
      <c r="H20" s="196">
        <f>[4]Famille!$AL$122</f>
        <v>0</v>
      </c>
      <c r="I20" s="506" t="s">
        <v>122</v>
      </c>
    </row>
    <row r="21" spans="1:13" x14ac:dyDescent="0.2">
      <c r="A21" s="59" t="s">
        <v>54</v>
      </c>
      <c r="B21" s="196">
        <f>[4]Vieillesse!$H$152</f>
        <v>0</v>
      </c>
      <c r="C21" s="196">
        <f>[4]Vieillesse!$I$152</f>
        <v>0</v>
      </c>
      <c r="D21" s="196">
        <f>[4]Vieillesse!$R$152</f>
        <v>0</v>
      </c>
      <c r="E21" s="196">
        <f>[4]Vieillesse!$W$152</f>
        <v>0</v>
      </c>
      <c r="F21" s="196">
        <f>[4]Vieillesse!$AB$152</f>
        <v>0</v>
      </c>
      <c r="G21" s="196">
        <f>[4]Vieillesse!$AG$152</f>
        <v>0</v>
      </c>
      <c r="H21" s="196">
        <f>[4]Vieillesse!$AL$152</f>
        <v>0</v>
      </c>
      <c r="I21" s="506" t="s">
        <v>122</v>
      </c>
    </row>
    <row r="22" spans="1:13" x14ac:dyDescent="0.2">
      <c r="A22" s="59" t="s">
        <v>238</v>
      </c>
      <c r="B22" s="196">
        <f>[4]SASPA!$H$152</f>
        <v>0</v>
      </c>
      <c r="C22" s="196">
        <f>[4]SASPA!$I$152</f>
        <v>0</v>
      </c>
      <c r="D22" s="196">
        <f>[4]SASPA!$R$152</f>
        <v>0</v>
      </c>
      <c r="E22" s="196">
        <f>[4]SASPA!$W$152</f>
        <v>0</v>
      </c>
      <c r="F22" s="196">
        <f>[4]SASPA!$AB$152</f>
        <v>0</v>
      </c>
      <c r="G22" s="196">
        <f>[4]SASPA!$AG$152</f>
        <v>0</v>
      </c>
      <c r="H22" s="196">
        <f>[4]SASPA!$AL$152</f>
        <v>0</v>
      </c>
      <c r="I22" s="506" t="s">
        <v>122</v>
      </c>
    </row>
    <row r="23" spans="1:13" s="58" customFormat="1" x14ac:dyDescent="0.2">
      <c r="A23" s="60" t="s">
        <v>55</v>
      </c>
      <c r="B23" s="277">
        <f t="shared" ref="B23:H23" si="2">SUM(B18:B22)</f>
        <v>11.665937100000001</v>
      </c>
      <c r="C23" s="277">
        <f t="shared" si="2"/>
        <v>18.156489730000001</v>
      </c>
      <c r="D23" s="277">
        <f t="shared" si="2"/>
        <v>18.065707281350001</v>
      </c>
      <c r="E23" s="277">
        <f t="shared" si="2"/>
        <v>19.260250647278227</v>
      </c>
      <c r="F23" s="277">
        <f t="shared" si="2"/>
        <v>19.829446182991887</v>
      </c>
      <c r="G23" s="277">
        <f t="shared" si="2"/>
        <v>20.436710887997474</v>
      </c>
      <c r="H23" s="277">
        <f t="shared" si="2"/>
        <v>21.079745043934039</v>
      </c>
      <c r="I23" s="507"/>
      <c r="J23"/>
      <c r="K23"/>
      <c r="L23"/>
    </row>
    <row r="24" spans="1:13" s="58" customFormat="1" x14ac:dyDescent="0.2">
      <c r="A24" s="60"/>
      <c r="B24" s="278"/>
      <c r="C24" s="278">
        <f>C18+C21</f>
        <v>0</v>
      </c>
      <c r="D24" s="278">
        <f>D18+D21</f>
        <v>0</v>
      </c>
      <c r="E24" s="278">
        <f>D24-C24</f>
        <v>0</v>
      </c>
      <c r="F24" s="278"/>
      <c r="G24" s="278"/>
      <c r="H24" s="278"/>
      <c r="I24" s="507"/>
      <c r="J24"/>
      <c r="K24"/>
      <c r="L24"/>
    </row>
    <row r="25" spans="1:13" x14ac:dyDescent="0.2">
      <c r="A25" s="61" t="s">
        <v>56</v>
      </c>
      <c r="B25" s="198">
        <v>0</v>
      </c>
      <c r="C25" s="198">
        <v>0</v>
      </c>
      <c r="D25" s="198">
        <v>0</v>
      </c>
      <c r="E25" s="198">
        <v>0</v>
      </c>
      <c r="F25" s="198">
        <v>0</v>
      </c>
      <c r="G25" s="198">
        <v>0</v>
      </c>
      <c r="H25" s="198">
        <v>0</v>
      </c>
      <c r="I25" s="506"/>
    </row>
    <row r="26" spans="1:13" x14ac:dyDescent="0.2">
      <c r="A26" s="61" t="s">
        <v>57</v>
      </c>
      <c r="B26" s="198">
        <v>0</v>
      </c>
      <c r="C26" s="198">
        <v>0</v>
      </c>
      <c r="D26" s="198">
        <v>0</v>
      </c>
      <c r="E26" s="198">
        <v>0</v>
      </c>
      <c r="F26" s="198">
        <v>0</v>
      </c>
      <c r="G26" s="198">
        <v>0</v>
      </c>
      <c r="H26" s="198">
        <v>0</v>
      </c>
      <c r="I26" s="506"/>
    </row>
    <row r="27" spans="1:13" x14ac:dyDescent="0.2">
      <c r="A27" s="61" t="s">
        <v>58</v>
      </c>
      <c r="B27" s="198">
        <v>0</v>
      </c>
      <c r="C27" s="198">
        <v>0</v>
      </c>
      <c r="D27" s="198">
        <v>0</v>
      </c>
      <c r="E27" s="198">
        <v>0</v>
      </c>
      <c r="F27" s="198">
        <v>0</v>
      </c>
      <c r="G27" s="198">
        <v>0</v>
      </c>
      <c r="H27" s="198">
        <v>0</v>
      </c>
      <c r="I27" s="506"/>
    </row>
    <row r="28" spans="1:13" x14ac:dyDescent="0.2">
      <c r="A28" s="61" t="s">
        <v>59</v>
      </c>
      <c r="B28" s="198">
        <f>[4]Vieillesse!$H$201</f>
        <v>2497</v>
      </c>
      <c r="C28" s="198">
        <f>[4]Vieillesse!$I$201</f>
        <v>2596.6026350000002</v>
      </c>
      <c r="D28" s="198">
        <f>[4]Vieillesse!$R$201</f>
        <v>2576.6330410187229</v>
      </c>
      <c r="E28" s="198">
        <f>[4]Vieillesse!$W$201</f>
        <v>2589.4349049114558</v>
      </c>
      <c r="F28" s="198">
        <f>[4]Vieillesse!$AB$201</f>
        <v>2582.3589215078878</v>
      </c>
      <c r="G28" s="198">
        <f>[4]Vieillesse!$AG$201</f>
        <v>2567.6504518749834</v>
      </c>
      <c r="H28" s="198">
        <f>[4]Vieillesse!$AL$201</f>
        <v>2511.9222573443731</v>
      </c>
      <c r="I28" s="506" t="s">
        <v>122</v>
      </c>
    </row>
    <row r="29" spans="1:13" x14ac:dyDescent="0.2">
      <c r="A29" s="61" t="s">
        <v>239</v>
      </c>
      <c r="B29" s="198">
        <v>0</v>
      </c>
      <c r="C29" s="198">
        <v>0</v>
      </c>
      <c r="D29" s="198">
        <v>0</v>
      </c>
      <c r="E29" s="198">
        <v>0</v>
      </c>
      <c r="F29" s="198">
        <v>0</v>
      </c>
      <c r="G29" s="198">
        <v>0</v>
      </c>
      <c r="H29" s="198">
        <v>0</v>
      </c>
      <c r="I29" s="506"/>
    </row>
    <row r="30" spans="1:13" x14ac:dyDescent="0.2">
      <c r="A30" s="62" t="s">
        <v>60</v>
      </c>
      <c r="B30" s="279">
        <f t="shared" ref="B30:H30" si="3">SUM(B25:B29)</f>
        <v>2497</v>
      </c>
      <c r="C30" s="279">
        <f t="shared" si="3"/>
        <v>2596.6026350000002</v>
      </c>
      <c r="D30" s="279">
        <f t="shared" si="3"/>
        <v>2576.6330410187229</v>
      </c>
      <c r="E30" s="279">
        <f t="shared" si="3"/>
        <v>2589.4349049114558</v>
      </c>
      <c r="F30" s="279">
        <f t="shared" si="3"/>
        <v>2582.3589215078878</v>
      </c>
      <c r="G30" s="279">
        <f t="shared" si="3"/>
        <v>2567.6504518749834</v>
      </c>
      <c r="H30" s="279">
        <f t="shared" si="3"/>
        <v>2511.9222573443731</v>
      </c>
      <c r="I30" s="506"/>
    </row>
    <row r="31" spans="1:13" x14ac:dyDescent="0.2">
      <c r="A31" s="61"/>
      <c r="B31" s="198"/>
      <c r="C31" s="198"/>
      <c r="D31" s="198"/>
      <c r="E31" s="198"/>
      <c r="F31" s="198"/>
      <c r="G31" s="198"/>
      <c r="H31" s="198"/>
      <c r="I31" s="506"/>
    </row>
    <row r="32" spans="1:13" x14ac:dyDescent="0.2">
      <c r="A32" s="63" t="s">
        <v>61</v>
      </c>
      <c r="B32" s="223">
        <f>[4]Maladie!$H$175</f>
        <v>158.14943690000001</v>
      </c>
      <c r="C32" s="223">
        <f>[4]Maladie!$I$175</f>
        <v>144.67077606999999</v>
      </c>
      <c r="D32" s="223">
        <f>[4]Maladie!$R$175</f>
        <v>156.21357021720135</v>
      </c>
      <c r="E32" s="223">
        <f>[4]Maladie!$W$175</f>
        <v>162.0383576491557</v>
      </c>
      <c r="F32" s="223">
        <f>[4]Maladie!$AB$175</f>
        <v>165.65801154287084</v>
      </c>
      <c r="G32" s="223">
        <f>[4]Maladie!$AG$175</f>
        <v>171.17885186653226</v>
      </c>
      <c r="H32" s="223">
        <f>[4]Maladie!$AL$175</f>
        <v>178.56759338410177</v>
      </c>
      <c r="I32" s="506" t="s">
        <v>122</v>
      </c>
    </row>
    <row r="33" spans="1:9" x14ac:dyDescent="0.2">
      <c r="A33" s="63" t="s">
        <v>62</v>
      </c>
      <c r="B33" s="223">
        <f>[4]AT!$H$108</f>
        <v>21.758339149999998</v>
      </c>
      <c r="C33" s="223">
        <f>[4]AT!$I$108</f>
        <v>22.429495890000002</v>
      </c>
      <c r="D33" s="223">
        <f>[4]AT!$R$108</f>
        <v>24.290140454425828</v>
      </c>
      <c r="E33" s="223">
        <f>[4]AT!$W$108</f>
        <v>25.301235277970406</v>
      </c>
      <c r="F33" s="223">
        <f>[4]AT!$AB$108</f>
        <v>26.1357408361118</v>
      </c>
      <c r="G33" s="223">
        <f>[4]AT!$AG$108</f>
        <v>27.150477219138963</v>
      </c>
      <c r="H33" s="223">
        <f>[4]AT!$AL$108</f>
        <v>28.394950198112028</v>
      </c>
      <c r="I33" s="506" t="s">
        <v>122</v>
      </c>
    </row>
    <row r="34" spans="1:9" x14ac:dyDescent="0.2">
      <c r="A34" s="63" t="s">
        <v>63</v>
      </c>
      <c r="B34" s="223">
        <f>[4]Famille!$H$103</f>
        <v>77.597631250000006</v>
      </c>
      <c r="C34" s="223">
        <f>[4]Famille!$I$103</f>
        <v>75.800326829999989</v>
      </c>
      <c r="D34" s="223">
        <f>[4]Famille!$R$103</f>
        <v>76.672165267059697</v>
      </c>
      <c r="E34" s="223">
        <f>[4]Famille!$W$103</f>
        <v>79.500544291053131</v>
      </c>
      <c r="F34" s="223">
        <f>[4]Famille!$AB$103</f>
        <v>81.339261718406021</v>
      </c>
      <c r="G34" s="223">
        <f>[4]Famille!$AG$103</f>
        <v>84.05807269321086</v>
      </c>
      <c r="H34" s="223">
        <f>[4]Famille!$AL$103</f>
        <v>87.709374856215049</v>
      </c>
      <c r="I34" s="506" t="s">
        <v>122</v>
      </c>
    </row>
    <row r="35" spans="1:9" x14ac:dyDescent="0.2">
      <c r="A35" s="63" t="s">
        <v>64</v>
      </c>
      <c r="B35" s="223">
        <f>[4]Vieillesse!$H$133</f>
        <v>268.16722089000001</v>
      </c>
      <c r="C35" s="223">
        <f>[4]Vieillesse!$I$133</f>
        <v>240.55728690000001</v>
      </c>
      <c r="D35" s="223">
        <f>[4]Vieillesse!$R$133</f>
        <v>258.90922815723701</v>
      </c>
      <c r="E35" s="223">
        <f>[4]Vieillesse!$W$133</f>
        <v>268.6683826278848</v>
      </c>
      <c r="F35" s="223">
        <f>[4]Vieillesse!$AB$133</f>
        <v>275.45365616519035</v>
      </c>
      <c r="G35" s="223">
        <f>[4]Vieillesse!$AG$133</f>
        <v>284.96455171025087</v>
      </c>
      <c r="H35" s="223">
        <f>[4]Vieillesse!$AL$133</f>
        <v>297.35908307476438</v>
      </c>
      <c r="I35" s="506" t="s">
        <v>122</v>
      </c>
    </row>
    <row r="36" spans="1:9" x14ac:dyDescent="0.2">
      <c r="A36" s="64" t="s">
        <v>65</v>
      </c>
      <c r="B36" s="280">
        <f>SUM(B32:B35)</f>
        <v>525.67262819000007</v>
      </c>
      <c r="C36" s="280">
        <f t="shared" ref="C36:H36" si="4">SUM(C32:C35)</f>
        <v>483.45788569000001</v>
      </c>
      <c r="D36" s="280">
        <f t="shared" si="4"/>
        <v>516.08510409592395</v>
      </c>
      <c r="E36" s="280">
        <f t="shared" si="4"/>
        <v>535.50851984606402</v>
      </c>
      <c r="F36" s="280">
        <f t="shared" si="4"/>
        <v>548.58667026257899</v>
      </c>
      <c r="G36" s="280">
        <f t="shared" si="4"/>
        <v>567.35195348913294</v>
      </c>
      <c r="H36" s="280">
        <f t="shared" si="4"/>
        <v>592.03100151319325</v>
      </c>
      <c r="I36" s="506"/>
    </row>
    <row r="37" spans="1:9" x14ac:dyDescent="0.2">
      <c r="A37" s="63"/>
      <c r="B37" s="223"/>
      <c r="C37" s="223"/>
      <c r="D37" s="223"/>
      <c r="E37" s="223"/>
      <c r="F37" s="223"/>
      <c r="G37" s="223"/>
      <c r="H37" s="223"/>
      <c r="I37" s="506"/>
    </row>
    <row r="38" spans="1:9" x14ac:dyDescent="0.2">
      <c r="A38" s="65" t="s">
        <v>66</v>
      </c>
      <c r="B38" s="199">
        <f>[4]Maladie!$H$194</f>
        <v>1078.72517984</v>
      </c>
      <c r="C38" s="199">
        <f>[4]Maladie!$I$194</f>
        <v>1134.8043451599999</v>
      </c>
      <c r="D38" s="199">
        <f>[4]Maladie!$R$194</f>
        <v>1167.6134014732395</v>
      </c>
      <c r="E38" s="199">
        <f>[4]Maladie!$W$194</f>
        <v>1195.3691375289698</v>
      </c>
      <c r="F38" s="199">
        <f>[4]Maladie!$AB$194</f>
        <v>1222.3493822478381</v>
      </c>
      <c r="G38" s="199">
        <f>[4]Maladie!$AG$194</f>
        <v>1250.5610272459267</v>
      </c>
      <c r="H38" s="199">
        <f>[4]Maladie!$AL$194</f>
        <v>1280.0016625519179</v>
      </c>
      <c r="I38" s="506" t="s">
        <v>122</v>
      </c>
    </row>
    <row r="39" spans="1:9" x14ac:dyDescent="0.2">
      <c r="A39" s="65" t="s">
        <v>67</v>
      </c>
      <c r="B39" s="199">
        <v>0</v>
      </c>
      <c r="C39" s="199">
        <v>0</v>
      </c>
      <c r="D39" s="199">
        <v>0</v>
      </c>
      <c r="E39" s="199">
        <v>0</v>
      </c>
      <c r="F39" s="199">
        <v>0</v>
      </c>
      <c r="G39" s="199">
        <v>0</v>
      </c>
      <c r="H39" s="199">
        <v>0</v>
      </c>
      <c r="I39" s="506"/>
    </row>
    <row r="40" spans="1:9" x14ac:dyDescent="0.2">
      <c r="A40" s="65" t="s">
        <v>68</v>
      </c>
      <c r="B40" s="199">
        <v>0</v>
      </c>
      <c r="C40" s="199">
        <v>0</v>
      </c>
      <c r="D40" s="199">
        <v>0</v>
      </c>
      <c r="E40" s="199">
        <v>0</v>
      </c>
      <c r="F40" s="199">
        <v>0</v>
      </c>
      <c r="G40" s="199">
        <v>0</v>
      </c>
      <c r="H40" s="199">
        <v>0</v>
      </c>
      <c r="I40" s="506"/>
    </row>
    <row r="41" spans="1:9" x14ac:dyDescent="0.2">
      <c r="A41" s="65" t="s">
        <v>69</v>
      </c>
      <c r="B41" s="199">
        <v>0</v>
      </c>
      <c r="C41" s="199">
        <v>0</v>
      </c>
      <c r="D41" s="199">
        <v>0</v>
      </c>
      <c r="E41" s="199">
        <v>0</v>
      </c>
      <c r="F41" s="199">
        <v>0</v>
      </c>
      <c r="G41" s="199">
        <v>0</v>
      </c>
      <c r="H41" s="199">
        <v>0</v>
      </c>
      <c r="I41" s="506"/>
    </row>
    <row r="42" spans="1:9" x14ac:dyDescent="0.2">
      <c r="A42" s="65" t="s">
        <v>240</v>
      </c>
      <c r="B42" s="199">
        <v>0</v>
      </c>
      <c r="C42" s="199">
        <v>0</v>
      </c>
      <c r="D42" s="199">
        <v>0</v>
      </c>
      <c r="E42" s="199">
        <v>0</v>
      </c>
      <c r="F42" s="199">
        <v>0</v>
      </c>
      <c r="G42" s="199">
        <v>0</v>
      </c>
      <c r="H42" s="199">
        <v>0</v>
      </c>
      <c r="I42" s="506"/>
    </row>
    <row r="43" spans="1:9" x14ac:dyDescent="0.2">
      <c r="A43" s="66" t="s">
        <v>70</v>
      </c>
      <c r="B43" s="281">
        <f t="shared" ref="B43:H43" si="5">SUM(B38:B42)</f>
        <v>1078.72517984</v>
      </c>
      <c r="C43" s="281">
        <f t="shared" si="5"/>
        <v>1134.8043451599999</v>
      </c>
      <c r="D43" s="281">
        <f t="shared" si="5"/>
        <v>1167.6134014732395</v>
      </c>
      <c r="E43" s="281">
        <f t="shared" si="5"/>
        <v>1195.3691375289698</v>
      </c>
      <c r="F43" s="281">
        <f t="shared" si="5"/>
        <v>1222.3493822478381</v>
      </c>
      <c r="G43" s="281">
        <f t="shared" si="5"/>
        <v>1250.5610272459267</v>
      </c>
      <c r="H43" s="281">
        <f t="shared" si="5"/>
        <v>1280.0016625519179</v>
      </c>
      <c r="I43" s="506"/>
    </row>
    <row r="44" spans="1:9" x14ac:dyDescent="0.2">
      <c r="B44" s="197"/>
      <c r="C44" s="197"/>
      <c r="D44" s="197"/>
      <c r="E44" s="197"/>
      <c r="F44" s="197"/>
      <c r="G44" s="197"/>
      <c r="H44" s="197"/>
      <c r="I44" s="506"/>
    </row>
    <row r="45" spans="1:9" x14ac:dyDescent="0.2">
      <c r="A45" s="115" t="s">
        <v>127</v>
      </c>
      <c r="B45" s="224">
        <f>[4]Maladie!$H$272</f>
        <v>407.45439783999996</v>
      </c>
      <c r="C45" s="224">
        <f>[4]Maladie!$I$272</f>
        <v>390.00126245999996</v>
      </c>
      <c r="D45" s="224">
        <f>[4]Maladie!$R$272</f>
        <v>387.63764834</v>
      </c>
      <c r="E45" s="224">
        <f>[4]Maladie!$W$272</f>
        <v>402.32001288365632</v>
      </c>
      <c r="F45" s="224">
        <f>[4]Maladie!$AB$272</f>
        <v>415.82255853265576</v>
      </c>
      <c r="G45" s="224">
        <f>[4]Maladie!$AG$272</f>
        <v>431.64852128944324</v>
      </c>
      <c r="H45" s="224">
        <f>[4]Maladie!$AL$272</f>
        <v>447.2872070800106</v>
      </c>
      <c r="I45" s="506" t="s">
        <v>122</v>
      </c>
    </row>
    <row r="46" spans="1:9" x14ac:dyDescent="0.2">
      <c r="A46" s="115" t="s">
        <v>123</v>
      </c>
      <c r="B46" s="224">
        <f>[4]AT!$H$219</f>
        <v>90.1693499</v>
      </c>
      <c r="C46" s="224">
        <f>[4]AT!$I$219</f>
        <v>84.503835580000015</v>
      </c>
      <c r="D46" s="224">
        <f>[4]AT!$R$219</f>
        <v>84.579373029999985</v>
      </c>
      <c r="E46" s="224">
        <f>[4]AT!$W$219</f>
        <v>85.349709041969746</v>
      </c>
      <c r="F46" s="224">
        <f>[4]AT!$AB$219</f>
        <v>87.294765691608958</v>
      </c>
      <c r="G46" s="224">
        <f>[4]AT!$AG$219</f>
        <v>89.331457739110022</v>
      </c>
      <c r="H46" s="224">
        <f>[4]AT!$AL$219</f>
        <v>91.401401287404568</v>
      </c>
      <c r="I46" s="506" t="s">
        <v>122</v>
      </c>
    </row>
    <row r="47" spans="1:9" x14ac:dyDescent="0.2">
      <c r="A47" s="115" t="s">
        <v>124</v>
      </c>
      <c r="B47" s="224">
        <f>[4]Famille!$H$180</f>
        <v>72.874318060000007</v>
      </c>
      <c r="C47" s="224">
        <f>[4]Famille!$I$180</f>
        <v>60.295213629999992</v>
      </c>
      <c r="D47" s="224">
        <f>[4]Famille!$R$180</f>
        <v>63.215545240000004</v>
      </c>
      <c r="E47" s="224">
        <f>[4]Famille!$W$180</f>
        <v>64.632592682198847</v>
      </c>
      <c r="F47" s="224">
        <f>[4]Famille!$AB$180</f>
        <v>65.763450609804494</v>
      </c>
      <c r="G47" s="224">
        <f>[4]Famille!$AG$180</f>
        <v>66.780867747402795</v>
      </c>
      <c r="H47" s="224">
        <f>[4]Famille!$AL$180</f>
        <v>67.489071416190484</v>
      </c>
      <c r="I47" s="506" t="s">
        <v>122</v>
      </c>
    </row>
    <row r="48" spans="1:9" x14ac:dyDescent="0.2">
      <c r="A48" s="115" t="s">
        <v>125</v>
      </c>
      <c r="B48" s="224">
        <f>[4]Vieillesse!$H$228</f>
        <v>193.13758862000003</v>
      </c>
      <c r="C48" s="224">
        <f>[4]Vieillesse!$I$228</f>
        <v>158.78605741000001</v>
      </c>
      <c r="D48" s="224">
        <f>[4]Vieillesse!$R$228</f>
        <v>191.40549885999997</v>
      </c>
      <c r="E48" s="224">
        <f>[4]Vieillesse!$W$228</f>
        <v>199.12931945092092</v>
      </c>
      <c r="F48" s="224">
        <f>[4]Vieillesse!$AB$228</f>
        <v>206.3034863925223</v>
      </c>
      <c r="G48" s="224">
        <f>[4]Vieillesse!$AG$228</f>
        <v>210.94539155741231</v>
      </c>
      <c r="H48" s="224">
        <f>[4]Vieillesse!$AL$228</f>
        <v>216.29562809732266</v>
      </c>
      <c r="I48" s="506" t="s">
        <v>122</v>
      </c>
    </row>
    <row r="49" spans="1:9" x14ac:dyDescent="0.2">
      <c r="A49" s="115" t="s">
        <v>241</v>
      </c>
      <c r="B49" s="224">
        <f>[4]SASPA!$H$228</f>
        <v>31.258629859999999</v>
      </c>
      <c r="C49" s="224">
        <f>[4]SASPA!$I$228</f>
        <v>22.62901802</v>
      </c>
      <c r="D49" s="224">
        <f>[6]SASPA!$R$228</f>
        <v>41.91202131</v>
      </c>
      <c r="E49" s="224">
        <f>[6]SASPA!$W$228</f>
        <v>42.66061000553762</v>
      </c>
      <c r="F49" s="224">
        <f>[6]SASPA!$AB$228</f>
        <v>44.320451212441696</v>
      </c>
      <c r="G49" s="224">
        <f>[6]SASPA!$AG$228</f>
        <v>44.995297037833581</v>
      </c>
      <c r="H49" s="224">
        <f>[6]SASPA!$AL$228</f>
        <v>45.460264535521397</v>
      </c>
      <c r="I49" s="506" t="s">
        <v>122</v>
      </c>
    </row>
    <row r="50" spans="1:9" x14ac:dyDescent="0.2">
      <c r="A50" s="116" t="s">
        <v>126</v>
      </c>
      <c r="B50" s="282">
        <f>SUM(B45:B49)</f>
        <v>794.89428428000008</v>
      </c>
      <c r="C50" s="282">
        <f t="shared" ref="C50:H50" si="6">SUM(C45:C49)</f>
        <v>716.21538710000004</v>
      </c>
      <c r="D50" s="282">
        <f t="shared" si="6"/>
        <v>768.75008677999995</v>
      </c>
      <c r="E50" s="282">
        <f t="shared" si="6"/>
        <v>794.09224406428336</v>
      </c>
      <c r="F50" s="282">
        <f t="shared" si="6"/>
        <v>819.50471243903326</v>
      </c>
      <c r="G50" s="282">
        <f t="shared" si="6"/>
        <v>843.701535371202</v>
      </c>
      <c r="H50" s="282">
        <f t="shared" si="6"/>
        <v>867.93357241644981</v>
      </c>
      <c r="I50" s="506"/>
    </row>
    <row r="51" spans="1:9" x14ac:dyDescent="0.2">
      <c r="B51" s="197"/>
      <c r="C51" s="197"/>
      <c r="D51" s="197"/>
      <c r="E51" s="197"/>
      <c r="F51" s="197"/>
      <c r="G51" s="197"/>
      <c r="H51" s="197"/>
      <c r="I51" s="506"/>
    </row>
    <row r="52" spans="1:9" x14ac:dyDescent="0.2">
      <c r="A52" s="115" t="s">
        <v>136</v>
      </c>
      <c r="B52" s="224">
        <f>'[4]Prev Cot Exo 2024'!$O$19</f>
        <v>368.04242822999993</v>
      </c>
      <c r="C52" s="224">
        <f>'[4]Prev Cot Exo 2024'!$P$19</f>
        <v>403.37206431999982</v>
      </c>
      <c r="D52" s="224">
        <f>'[4]Prev Cot Exo 2024'!$Q$19</f>
        <v>423.48895770591378</v>
      </c>
      <c r="E52" s="224">
        <f>'[4]Prev Cot Exo 2024'!$R$19</f>
        <v>438.5893081957729</v>
      </c>
      <c r="F52" s="224">
        <f>'[4]Prev Cot Exo 2024'!$S$19</f>
        <v>453.4381693065705</v>
      </c>
      <c r="G52" s="224">
        <f>'[4]Prev Cot Exo 2024'!$T$19</f>
        <v>469.13609926854582</v>
      </c>
      <c r="H52" s="224">
        <f>'[4]Prev Cot Exo 2024'!$U$19</f>
        <v>485.70266160320153</v>
      </c>
      <c r="I52" s="506" t="s">
        <v>122</v>
      </c>
    </row>
    <row r="53" spans="1:9" x14ac:dyDescent="0.2">
      <c r="A53" s="115" t="s">
        <v>137</v>
      </c>
      <c r="B53" s="224">
        <f>'[4]Prev Cot Exo 2024'!$O$41</f>
        <v>1.9189196700000148</v>
      </c>
      <c r="C53" s="224">
        <f>'[4]Prev Cot Exo 2024'!$P$41</f>
        <v>2.6722583900000032</v>
      </c>
      <c r="D53" s="224">
        <f>'[4]Prev Cot Exo 2024'!$Q$41</f>
        <v>2.80552874399736</v>
      </c>
      <c r="E53" s="224">
        <f>'[4]Prev Cot Exo 2024'!$R$41</f>
        <v>2.9055655137238419</v>
      </c>
      <c r="F53" s="224">
        <f>'[4]Prev Cot Exo 2024'!$S$41</f>
        <v>3.0039362171481727</v>
      </c>
      <c r="G53" s="224">
        <f>'[4]Prev Cot Exo 2024'!$T$41</f>
        <v>3.1079318300873013</v>
      </c>
      <c r="H53" s="224">
        <f>'[4]Prev Cot Exo 2024'!$U$41</f>
        <v>3.217681956916763</v>
      </c>
      <c r="I53" s="506" t="s">
        <v>122</v>
      </c>
    </row>
    <row r="54" spans="1:9" x14ac:dyDescent="0.2">
      <c r="A54" s="115" t="s">
        <v>138</v>
      </c>
      <c r="B54" s="224">
        <f>'[4]Prev Cot Exo 2024'!$O$29</f>
        <v>181.61664407000004</v>
      </c>
      <c r="C54" s="224">
        <f>'[4]Prev Cot Exo 2024'!$P$29</f>
        <v>199.02363040000003</v>
      </c>
      <c r="D54" s="224">
        <f>'[4]Prev Cot Exo 2024'!$Q$29</f>
        <v>208.94930059865922</v>
      </c>
      <c r="E54" s="224">
        <f>'[4]Prev Cot Exo 2024'!$R$29</f>
        <v>216.39980814138903</v>
      </c>
      <c r="F54" s="224">
        <f>'[4]Prev Cot Exo 2024'!$S$29</f>
        <v>223.7262309142406</v>
      </c>
      <c r="G54" s="224">
        <f>'[4]Prev Cot Exo 2024'!$T$29</f>
        <v>231.4715839552502</v>
      </c>
      <c r="H54" s="224">
        <f>'[4]Prev Cot Exo 2024'!$U$29</f>
        <v>239.64551989894545</v>
      </c>
      <c r="I54" s="506" t="s">
        <v>122</v>
      </c>
    </row>
    <row r="55" spans="1:9" x14ac:dyDescent="0.2">
      <c r="A55" s="115" t="s">
        <v>139</v>
      </c>
      <c r="B55" s="224">
        <f>'[4]Prev Cot Exo 2024'!$O$11</f>
        <v>554.72239060999982</v>
      </c>
      <c r="C55" s="224">
        <f>'[4]Prev Cot Exo 2024'!$P$11</f>
        <v>601.75679587999991</v>
      </c>
      <c r="D55" s="224">
        <f>'[4]Prev Cot Exo 2024'!$Q$11</f>
        <v>631.76749451129604</v>
      </c>
      <c r="E55" s="224">
        <f>'[4]Prev Cot Exo 2024'!$R$11</f>
        <v>654.29443511182444</v>
      </c>
      <c r="F55" s="224">
        <f>'[4]Prev Cot Exo 2024'!$S$11</f>
        <v>676.44619989722253</v>
      </c>
      <c r="G55" s="224">
        <f>'[4]Prev Cot Exo 2024'!$T$11</f>
        <v>699.86461896253854</v>
      </c>
      <c r="H55" s="224">
        <f>'[4]Prev Cot Exo 2024'!$U$11</f>
        <v>724.5788774771579</v>
      </c>
      <c r="I55" s="506" t="s">
        <v>122</v>
      </c>
    </row>
    <row r="56" spans="1:9" x14ac:dyDescent="0.2">
      <c r="A56" s="115" t="s">
        <v>242</v>
      </c>
      <c r="B56" s="224">
        <v>0</v>
      </c>
      <c r="C56" s="224">
        <v>0</v>
      </c>
      <c r="D56" s="224">
        <v>0</v>
      </c>
      <c r="E56" s="224">
        <v>0</v>
      </c>
      <c r="F56" s="224">
        <v>0</v>
      </c>
      <c r="G56" s="224">
        <v>0</v>
      </c>
      <c r="H56" s="224">
        <v>0</v>
      </c>
      <c r="I56" s="506" t="s">
        <v>122</v>
      </c>
    </row>
    <row r="57" spans="1:9" x14ac:dyDescent="0.2">
      <c r="A57" s="116" t="s">
        <v>140</v>
      </c>
      <c r="B57" s="282">
        <f>SUM(B52:B56)</f>
        <v>1106.3003825799997</v>
      </c>
      <c r="C57" s="282">
        <f t="shared" ref="C57:H57" si="7">SUM(C52:C56)</f>
        <v>1206.8247489899998</v>
      </c>
      <c r="D57" s="282">
        <f t="shared" si="7"/>
        <v>1267.0112815598663</v>
      </c>
      <c r="E57" s="282">
        <f t="shared" si="7"/>
        <v>1312.1891169627102</v>
      </c>
      <c r="F57" s="282">
        <f t="shared" si="7"/>
        <v>1356.6145363351818</v>
      </c>
      <c r="G57" s="282">
        <f t="shared" si="7"/>
        <v>1403.5802340164219</v>
      </c>
      <c r="H57" s="282">
        <f t="shared" si="7"/>
        <v>1453.1447409362218</v>
      </c>
      <c r="I57" s="276"/>
    </row>
    <row r="58" spans="1:9" x14ac:dyDescent="0.2">
      <c r="B58" s="89"/>
      <c r="C58" s="89"/>
      <c r="D58" s="89"/>
      <c r="E58" s="89"/>
      <c r="F58" s="89"/>
      <c r="G58" s="89"/>
      <c r="H58" s="89"/>
    </row>
    <row r="59" spans="1:9" x14ac:dyDescent="0.2">
      <c r="B59" s="89"/>
      <c r="C59" s="89"/>
      <c r="D59" s="89"/>
      <c r="E59" s="89"/>
      <c r="F59" s="89"/>
      <c r="G59" s="89"/>
      <c r="H59" s="89"/>
    </row>
    <row r="60" spans="1:9" x14ac:dyDescent="0.2">
      <c r="B60" s="89"/>
      <c r="C60" s="89"/>
      <c r="D60" s="89"/>
      <c r="E60" s="89"/>
      <c r="F60" s="89"/>
      <c r="G60" s="89"/>
      <c r="H60" s="89"/>
    </row>
    <row r="61" spans="1:9" x14ac:dyDescent="0.2">
      <c r="B61" s="89"/>
      <c r="C61" s="89"/>
      <c r="D61" s="89"/>
      <c r="E61" s="89"/>
      <c r="F61" s="89"/>
      <c r="G61" s="89"/>
      <c r="H61" s="89"/>
    </row>
    <row r="62" spans="1:9" x14ac:dyDescent="0.2">
      <c r="B62" s="89"/>
      <c r="C62" s="89"/>
      <c r="D62" s="89"/>
      <c r="E62" s="89"/>
      <c r="F62" s="89"/>
      <c r="G62" s="89"/>
      <c r="H62" s="89"/>
    </row>
    <row r="63" spans="1:9" x14ac:dyDescent="0.2">
      <c r="B63" s="89"/>
      <c r="C63" s="89"/>
      <c r="D63" s="89"/>
      <c r="E63" s="89"/>
      <c r="F63" s="89"/>
      <c r="G63" s="89"/>
      <c r="H63" s="89"/>
    </row>
    <row r="64" spans="1:9" x14ac:dyDescent="0.2">
      <c r="B64" s="89"/>
      <c r="C64" s="89"/>
      <c r="D64" s="89"/>
      <c r="E64" s="89"/>
      <c r="F64" s="89"/>
      <c r="G64" s="89"/>
      <c r="H64" s="89"/>
    </row>
    <row r="65" spans="2:8" x14ac:dyDescent="0.2">
      <c r="B65" s="89"/>
      <c r="C65" s="89"/>
      <c r="D65" s="89"/>
      <c r="E65" s="89"/>
      <c r="F65" s="89"/>
      <c r="G65" s="89"/>
      <c r="H65" s="89"/>
    </row>
    <row r="66" spans="2:8" x14ac:dyDescent="0.2">
      <c r="B66" s="89"/>
      <c r="C66" s="89"/>
      <c r="D66" s="89"/>
      <c r="E66" s="89"/>
      <c r="F66" s="89"/>
      <c r="G66" s="89"/>
      <c r="H66" s="89"/>
    </row>
    <row r="67" spans="2:8" x14ac:dyDescent="0.2">
      <c r="B67" s="89"/>
      <c r="C67" s="89"/>
      <c r="D67" s="89"/>
      <c r="E67" s="89"/>
      <c r="F67" s="89"/>
      <c r="G67" s="89"/>
      <c r="H67" s="89"/>
    </row>
    <row r="68" spans="2:8" x14ac:dyDescent="0.2">
      <c r="B68" s="89"/>
      <c r="C68" s="89"/>
      <c r="D68" s="89"/>
      <c r="E68" s="89"/>
      <c r="F68" s="89"/>
      <c r="G68" s="89"/>
      <c r="H68" s="89"/>
    </row>
    <row r="69" spans="2:8" x14ac:dyDescent="0.2">
      <c r="B69" s="89"/>
      <c r="C69" s="89"/>
      <c r="D69" s="89"/>
      <c r="E69" s="89"/>
      <c r="F69" s="89"/>
      <c r="G69" s="89"/>
      <c r="H69" s="89"/>
    </row>
    <row r="70" spans="2:8" x14ac:dyDescent="0.2">
      <c r="B70" s="89"/>
      <c r="C70" s="89"/>
      <c r="D70" s="89"/>
      <c r="E70" s="89"/>
      <c r="F70" s="89"/>
      <c r="G70" s="89"/>
      <c r="H70" s="89"/>
    </row>
    <row r="71" spans="2:8" x14ac:dyDescent="0.2">
      <c r="B71" s="89"/>
      <c r="C71" s="89"/>
      <c r="D71" s="89"/>
      <c r="E71" s="89"/>
      <c r="F71" s="89"/>
      <c r="G71" s="89"/>
      <c r="H71" s="89"/>
    </row>
    <row r="72" spans="2:8" x14ac:dyDescent="0.2">
      <c r="B72" s="89"/>
      <c r="C72" s="89"/>
      <c r="D72" s="89"/>
      <c r="E72" s="89"/>
      <c r="F72" s="89"/>
      <c r="G72" s="89"/>
      <c r="H72" s="89"/>
    </row>
    <row r="73" spans="2:8" x14ac:dyDescent="0.2">
      <c r="B73" s="89"/>
      <c r="C73" s="89"/>
      <c r="D73" s="89"/>
      <c r="E73" s="89"/>
      <c r="F73" s="89"/>
      <c r="G73" s="89"/>
      <c r="H73" s="89"/>
    </row>
    <row r="74" spans="2:8" x14ac:dyDescent="0.2">
      <c r="B74" s="89"/>
      <c r="C74" s="89"/>
      <c r="D74" s="89"/>
      <c r="E74" s="89"/>
      <c r="F74" s="89"/>
      <c r="G74" s="89"/>
      <c r="H74" s="89"/>
    </row>
    <row r="75" spans="2:8" x14ac:dyDescent="0.2">
      <c r="B75" s="89"/>
      <c r="C75" s="89"/>
      <c r="D75" s="89"/>
      <c r="E75" s="89"/>
      <c r="F75" s="89"/>
      <c r="G75" s="89"/>
      <c r="H75" s="89"/>
    </row>
    <row r="76" spans="2:8" x14ac:dyDescent="0.2">
      <c r="B76" s="89"/>
      <c r="C76" s="89"/>
      <c r="D76" s="89"/>
      <c r="E76" s="89"/>
      <c r="F76" s="89"/>
      <c r="G76" s="89"/>
      <c r="H76" s="89"/>
    </row>
    <row r="77" spans="2:8" x14ac:dyDescent="0.2">
      <c r="B77" s="89"/>
      <c r="C77" s="89"/>
      <c r="D77" s="89"/>
      <c r="E77" s="89"/>
      <c r="F77" s="89"/>
      <c r="G77" s="89"/>
      <c r="H77" s="89"/>
    </row>
    <row r="78" spans="2:8" x14ac:dyDescent="0.2">
      <c r="B78" s="89"/>
      <c r="C78" s="89"/>
      <c r="D78" s="89"/>
      <c r="E78" s="89"/>
      <c r="F78" s="89"/>
      <c r="G78" s="89"/>
      <c r="H78" s="89"/>
    </row>
    <row r="79" spans="2:8" x14ac:dyDescent="0.2">
      <c r="B79" s="89"/>
      <c r="C79" s="89"/>
      <c r="D79" s="89"/>
      <c r="E79" s="89"/>
      <c r="F79" s="89"/>
      <c r="G79" s="89"/>
      <c r="H79" s="89"/>
    </row>
    <row r="80" spans="2:8" x14ac:dyDescent="0.2">
      <c r="B80" s="89"/>
      <c r="C80" s="89"/>
      <c r="D80" s="89"/>
      <c r="E80" s="89"/>
      <c r="F80" s="89"/>
      <c r="G80" s="89"/>
      <c r="H80" s="89"/>
    </row>
    <row r="81" spans="2:8" x14ac:dyDescent="0.2">
      <c r="B81" s="89"/>
      <c r="C81" s="89"/>
      <c r="D81" s="89"/>
      <c r="E81" s="89"/>
      <c r="F81" s="89"/>
      <c r="G81" s="89"/>
      <c r="H81" s="89"/>
    </row>
    <row r="82" spans="2:8" x14ac:dyDescent="0.2">
      <c r="B82" s="89"/>
      <c r="C82" s="89"/>
      <c r="D82" s="89"/>
      <c r="E82" s="89"/>
      <c r="F82" s="89"/>
      <c r="G82" s="89"/>
      <c r="H82" s="89"/>
    </row>
    <row r="83" spans="2:8" x14ac:dyDescent="0.2">
      <c r="B83" s="89"/>
      <c r="C83" s="89"/>
      <c r="D83" s="89"/>
      <c r="E83" s="89"/>
      <c r="F83" s="89"/>
      <c r="G83" s="89"/>
      <c r="H83" s="89"/>
    </row>
    <row r="84" spans="2:8" x14ac:dyDescent="0.2">
      <c r="B84" s="89"/>
      <c r="C84" s="89"/>
      <c r="D84" s="89"/>
      <c r="E84" s="89"/>
      <c r="F84" s="89"/>
      <c r="G84" s="89"/>
      <c r="H84" s="89"/>
    </row>
    <row r="85" spans="2:8" x14ac:dyDescent="0.2">
      <c r="B85" s="89"/>
      <c r="C85" s="89"/>
      <c r="D85" s="89"/>
      <c r="E85" s="89"/>
      <c r="F85" s="89"/>
      <c r="G85" s="89"/>
      <c r="H85" s="89"/>
    </row>
    <row r="86" spans="2:8" x14ac:dyDescent="0.2">
      <c r="B86" s="89"/>
      <c r="C86" s="89"/>
      <c r="D86" s="89"/>
      <c r="E86" s="89"/>
      <c r="F86" s="89"/>
      <c r="G86" s="89"/>
      <c r="H86" s="89"/>
    </row>
    <row r="87" spans="2:8" x14ac:dyDescent="0.2">
      <c r="B87" s="89"/>
      <c r="C87" s="89"/>
      <c r="D87" s="89"/>
      <c r="E87" s="89"/>
      <c r="F87" s="89"/>
      <c r="G87" s="89"/>
      <c r="H87" s="89"/>
    </row>
    <row r="88" spans="2:8" x14ac:dyDescent="0.2">
      <c r="B88" s="89"/>
      <c r="C88" s="89"/>
      <c r="D88" s="89"/>
      <c r="E88" s="89"/>
      <c r="F88" s="89"/>
      <c r="G88" s="89"/>
      <c r="H88" s="89"/>
    </row>
    <row r="89" spans="2:8" x14ac:dyDescent="0.2">
      <c r="B89" s="89"/>
      <c r="C89" s="89"/>
      <c r="D89" s="89"/>
      <c r="E89" s="89"/>
      <c r="F89" s="89"/>
      <c r="G89" s="89"/>
      <c r="H89" s="89"/>
    </row>
    <row r="90" spans="2:8" x14ac:dyDescent="0.2">
      <c r="B90" s="89"/>
      <c r="C90" s="89"/>
      <c r="D90" s="89"/>
      <c r="E90" s="89"/>
      <c r="F90" s="89"/>
      <c r="G90" s="89"/>
      <c r="H90" s="89"/>
    </row>
  </sheetData>
  <phoneticPr fontId="4" type="noConversion"/>
  <pageMargins left="0.78740157499999996" right="0.78740157499999996" top="0.984251969" bottom="0.984251969" header="0.4921259845" footer="0.4921259845"/>
  <pageSetup paperSize="9" orientation="portrait" horizontalDpi="4294967295" verticalDpi="4294967295"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S49"/>
  <sheetViews>
    <sheetView zoomScale="90" zoomScaleNormal="90" workbookViewId="0"/>
  </sheetViews>
  <sheetFormatPr baseColWidth="10" defaultRowHeight="12.75" x14ac:dyDescent="0.2"/>
  <cols>
    <col min="1" max="1" width="34.28515625" customWidth="1"/>
    <col min="2" max="7" width="11.42578125" customWidth="1"/>
    <col min="8" max="8" width="18.28515625" bestFit="1" customWidth="1"/>
    <col min="9" max="9" width="13.42578125" style="67" customWidth="1"/>
    <col min="10" max="10" width="4.5703125" customWidth="1"/>
  </cols>
  <sheetData>
    <row r="1" spans="1:12" ht="38.25" x14ac:dyDescent="0.2">
      <c r="A1" s="489" t="s">
        <v>95</v>
      </c>
      <c r="B1" s="490">
        <f>TableauxNote!C4</f>
        <v>2022</v>
      </c>
      <c r="C1" s="490">
        <f>TableauxNote!D4</f>
        <v>2023</v>
      </c>
      <c r="D1" s="490" t="str">
        <f>TableauxNote!E4</f>
        <v>2024(p)</v>
      </c>
      <c r="E1" s="490" t="str">
        <f>TableauxNote!F4</f>
        <v>2025(p)</v>
      </c>
      <c r="F1" s="490" t="str">
        <f>TableauxNote!G4</f>
        <v>2026(p)</v>
      </c>
      <c r="G1" s="490" t="str">
        <f>TableauxNote!H4</f>
        <v>2027(p)</v>
      </c>
      <c r="H1" s="490" t="str">
        <f>TableauxNote!I4</f>
        <v>2028(p)</v>
      </c>
      <c r="I1" s="497" t="s">
        <v>159</v>
      </c>
    </row>
    <row r="2" spans="1:12" x14ac:dyDescent="0.2">
      <c r="A2" s="68" t="s">
        <v>71</v>
      </c>
      <c r="B2" s="69">
        <f>'Détail CHG PDT'!B7</f>
        <v>15462.591830660002</v>
      </c>
      <c r="C2" s="135">
        <f>'Détail CHG PDT'!C7</f>
        <v>15814.74805369</v>
      </c>
      <c r="D2" s="135">
        <f>'Détail CHG PDT'!D7</f>
        <v>16449.577590940229</v>
      </c>
      <c r="E2" s="135">
        <f>'Détail CHG PDT'!E7</f>
        <v>16998.978932939903</v>
      </c>
      <c r="F2" s="69">
        <f>'Détail CHG PDT'!F7</f>
        <v>17568.513799405871</v>
      </c>
      <c r="G2" s="69">
        <f>'Détail CHG PDT'!G7</f>
        <v>18164.478177721023</v>
      </c>
      <c r="H2" s="69">
        <f>'Détail CHG PDT'!H7</f>
        <v>18749.053630878701</v>
      </c>
      <c r="I2" s="494"/>
      <c r="K2" s="605" t="s">
        <v>174</v>
      </c>
      <c r="L2" s="605"/>
    </row>
    <row r="3" spans="1:12" x14ac:dyDescent="0.2">
      <c r="A3" s="183" t="s">
        <v>251</v>
      </c>
      <c r="B3" s="136">
        <f>TableauxNote!C47</f>
        <v>13548.121648940003</v>
      </c>
      <c r="C3" s="136">
        <f>TableauxNote!D47</f>
        <v>13957.312436729999</v>
      </c>
      <c r="D3" s="136">
        <f>TableauxNote!E47</f>
        <v>14575.278858372072</v>
      </c>
      <c r="E3" s="136">
        <f>TableauxNote!F47</f>
        <v>15085.096964756029</v>
      </c>
      <c r="F3" s="136">
        <f>TableauxNote!G47</f>
        <v>15605.08635913107</v>
      </c>
      <c r="G3" s="136">
        <f>TableauxNote!H47</f>
        <v>16143.391281596509</v>
      </c>
      <c r="H3" s="136">
        <f>TableauxNote!I47</f>
        <v>16670.675593610256</v>
      </c>
      <c r="I3" s="494">
        <f>D3/D2</f>
        <v>0.88605794147562511</v>
      </c>
      <c r="J3" s="496">
        <f>(D3/D2)*C17*100</f>
        <v>3.9230622510125426</v>
      </c>
      <c r="K3" s="117" t="s">
        <v>278</v>
      </c>
    </row>
    <row r="4" spans="1:12" x14ac:dyDescent="0.2">
      <c r="A4" s="503" t="s">
        <v>73</v>
      </c>
      <c r="B4" s="135">
        <f>'Détail CHG PDT'!B15</f>
        <v>15522.195876170003</v>
      </c>
      <c r="C4" s="135">
        <f>'Détail CHG PDT'!C15</f>
        <v>15875.352678770001</v>
      </c>
      <c r="D4" s="135">
        <f>'Détail CHG PDT'!D15</f>
        <v>16493.386245913858</v>
      </c>
      <c r="E4" s="135">
        <f>'Détail CHG PDT'!E15</f>
        <v>17044.206075273345</v>
      </c>
      <c r="F4" s="135">
        <f>'Détail CHG PDT'!F15</f>
        <v>17614.876375872871</v>
      </c>
      <c r="G4" s="135">
        <f>'Détail CHG PDT'!G15</f>
        <v>18211.203809456725</v>
      </c>
      <c r="H4" s="135">
        <f>'Détail CHG PDT'!H15</f>
        <v>18797.918681646017</v>
      </c>
      <c r="I4" s="494">
        <f t="shared" ref="I4:I10" si="0">D4/$D$4</f>
        <v>1</v>
      </c>
    </row>
    <row r="5" spans="1:12" x14ac:dyDescent="0.2">
      <c r="A5" s="183" t="s">
        <v>74</v>
      </c>
      <c r="B5" s="136">
        <f>TableauxNote!C54</f>
        <v>5944.3958786200001</v>
      </c>
      <c r="C5" s="136">
        <f>TableauxNote!D54</f>
        <v>6303.9853344099993</v>
      </c>
      <c r="D5" s="136">
        <f>TableauxNote!E54</f>
        <v>6462.2994656360461</v>
      </c>
      <c r="E5" s="136">
        <f>TableauxNote!F54</f>
        <v>6590.4164607799939</v>
      </c>
      <c r="F5" s="136">
        <f>TableauxNote!G54</f>
        <v>6720.848514506667</v>
      </c>
      <c r="G5" s="136">
        <f>TableauxNote!H54</f>
        <v>6851.7113742032725</v>
      </c>
      <c r="H5" s="136">
        <f>TableauxNote!I54</f>
        <v>6982.6195774038297</v>
      </c>
      <c r="I5" s="495">
        <f t="shared" si="0"/>
        <v>0.39181156430123887</v>
      </c>
      <c r="J5" s="91"/>
    </row>
    <row r="6" spans="1:12" x14ac:dyDescent="0.2">
      <c r="A6" s="183" t="s">
        <v>75</v>
      </c>
      <c r="B6" s="136">
        <f>'Détail CHG PDT'!B30</f>
        <v>2497</v>
      </c>
      <c r="C6" s="136">
        <f>'Détail CHG PDT'!C30</f>
        <v>2596.6026350000002</v>
      </c>
      <c r="D6" s="136">
        <f>'Détail CHG PDT'!D30</f>
        <v>2576.6330410187229</v>
      </c>
      <c r="E6" s="136">
        <f>'Détail CHG PDT'!E30</f>
        <v>2589.4349049114558</v>
      </c>
      <c r="F6" s="136">
        <f>'Détail CHG PDT'!F30</f>
        <v>2582.3589215078878</v>
      </c>
      <c r="G6" s="136">
        <f>'Détail CHG PDT'!G30</f>
        <v>2567.6504518749834</v>
      </c>
      <c r="H6" s="136">
        <f>'Détail CHG PDT'!H30</f>
        <v>2511.9222573443731</v>
      </c>
      <c r="I6" s="495">
        <f t="shared" si="0"/>
        <v>0.15622219734634959</v>
      </c>
      <c r="J6" s="67"/>
    </row>
    <row r="7" spans="1:12" x14ac:dyDescent="0.2">
      <c r="A7" s="183" t="s">
        <v>76</v>
      </c>
      <c r="B7" s="136">
        <f>'Détail CHG PDT'!B43</f>
        <v>1078.72517984</v>
      </c>
      <c r="C7" s="136">
        <f>'Détail CHG PDT'!C43</f>
        <v>1134.8043451599999</v>
      </c>
      <c r="D7" s="136">
        <f>'Détail CHG PDT'!D43</f>
        <v>1167.6134014732395</v>
      </c>
      <c r="E7" s="136">
        <f>'Détail CHG PDT'!E43</f>
        <v>1195.3691375289698</v>
      </c>
      <c r="F7" s="136">
        <f>'Détail CHG PDT'!F43</f>
        <v>1222.3493822478381</v>
      </c>
      <c r="G7" s="136">
        <f>'Détail CHG PDT'!G43</f>
        <v>1250.5610272459267</v>
      </c>
      <c r="H7" s="136">
        <f>'Détail CHG PDT'!H43</f>
        <v>1280.0016625519179</v>
      </c>
      <c r="I7" s="495">
        <f t="shared" si="0"/>
        <v>7.0792824715574035E-2</v>
      </c>
    </row>
    <row r="8" spans="1:12" x14ac:dyDescent="0.2">
      <c r="A8" s="183" t="s">
        <v>77</v>
      </c>
      <c r="B8" s="136">
        <f>'Détail CHG PDT'!B23</f>
        <v>11.665937100000001</v>
      </c>
      <c r="C8" s="136">
        <f>'Détail CHG PDT'!C23</f>
        <v>18.156489730000001</v>
      </c>
      <c r="D8" s="136">
        <f>'Détail CHG PDT'!D23</f>
        <v>18.065707281350001</v>
      </c>
      <c r="E8" s="136">
        <f>'Détail CHG PDT'!E23</f>
        <v>19.260250647278227</v>
      </c>
      <c r="F8" s="136">
        <f>'Détail CHG PDT'!F23</f>
        <v>19.829446182991887</v>
      </c>
      <c r="G8" s="136">
        <f>'Détail CHG PDT'!G23</f>
        <v>20.436710887997474</v>
      </c>
      <c r="H8" s="136">
        <f>'Détail CHG PDT'!H23</f>
        <v>21.079745043934039</v>
      </c>
      <c r="I8" s="495">
        <f t="shared" si="0"/>
        <v>1.0953303955896672E-3</v>
      </c>
    </row>
    <row r="9" spans="1:12" x14ac:dyDescent="0.2">
      <c r="A9" s="183" t="s">
        <v>135</v>
      </c>
      <c r="B9" s="136">
        <f>'Détail CHG PDT'!B36</f>
        <v>525.67262819000007</v>
      </c>
      <c r="C9" s="136">
        <f>'Détail CHG PDT'!C36</f>
        <v>483.45788569000001</v>
      </c>
      <c r="D9" s="136">
        <f>'Détail CHG PDT'!D36</f>
        <v>516.08510409592395</v>
      </c>
      <c r="E9" s="71">
        <f>'Détail CHG PDT'!E36</f>
        <v>535.50851984606402</v>
      </c>
      <c r="F9" s="71">
        <f>'Détail CHG PDT'!F36</f>
        <v>548.58667026257899</v>
      </c>
      <c r="G9" s="71">
        <f>'Détail CHG PDT'!G36</f>
        <v>567.35195348913294</v>
      </c>
      <c r="H9" s="71">
        <f>'Détail CHG PDT'!H36</f>
        <v>592.03100151319325</v>
      </c>
      <c r="I9" s="494">
        <f t="shared" si="0"/>
        <v>3.1290427350768014E-2</v>
      </c>
    </row>
    <row r="10" spans="1:12" x14ac:dyDescent="0.2">
      <c r="A10" s="183" t="s">
        <v>129</v>
      </c>
      <c r="B10" s="136">
        <f>'Détail CHG PDT'!B50</f>
        <v>794.89428428000008</v>
      </c>
      <c r="C10" s="136">
        <f>'Détail CHG PDT'!C50</f>
        <v>716.21538710000004</v>
      </c>
      <c r="D10" s="136">
        <f>'Détail CHG PDT'!D50</f>
        <v>768.75008677999995</v>
      </c>
      <c r="E10" s="71">
        <f>'Détail CHG PDT'!E50</f>
        <v>794.09224406428336</v>
      </c>
      <c r="F10" s="71">
        <f>'Détail CHG PDT'!F50</f>
        <v>819.50471243903326</v>
      </c>
      <c r="G10" s="71">
        <f>'Détail CHG PDT'!G50</f>
        <v>843.701535371202</v>
      </c>
      <c r="H10" s="71">
        <f>'Détail CHG PDT'!H50</f>
        <v>867.93357241644981</v>
      </c>
      <c r="I10" s="494">
        <f t="shared" si="0"/>
        <v>4.6609597041993321E-2</v>
      </c>
    </row>
    <row r="11" spans="1:12" x14ac:dyDescent="0.2">
      <c r="A11" s="72" t="s">
        <v>39</v>
      </c>
      <c r="B11" s="69">
        <f t="shared" ref="B11:H11" si="1">B4-B2</f>
        <v>59.604045510001015</v>
      </c>
      <c r="C11" s="69">
        <f t="shared" si="1"/>
        <v>60.604625080000915</v>
      </c>
      <c r="D11" s="69">
        <f t="shared" si="1"/>
        <v>43.808654973629018</v>
      </c>
      <c r="E11" s="69">
        <f t="shared" si="1"/>
        <v>45.227142333442316</v>
      </c>
      <c r="F11" s="69">
        <f t="shared" si="1"/>
        <v>46.362576466999599</v>
      </c>
      <c r="G11" s="69">
        <f t="shared" si="1"/>
        <v>46.725631735702336</v>
      </c>
      <c r="H11" s="69">
        <f t="shared" si="1"/>
        <v>48.865050767315552</v>
      </c>
      <c r="I11" s="494"/>
    </row>
    <row r="12" spans="1:12" x14ac:dyDescent="0.2">
      <c r="A12" s="191" t="s">
        <v>267</v>
      </c>
      <c r="B12" s="188">
        <f>TableauxNote!M18</f>
        <v>2741.5570461999996</v>
      </c>
      <c r="C12" s="188">
        <f>TableauxNote!N18</f>
        <v>2758.1404024199996</v>
      </c>
      <c r="D12" s="188">
        <f>TableauxNote!O18</f>
        <v>2945.9518810505597</v>
      </c>
      <c r="E12" s="188">
        <f>TableauxNote!P18</f>
        <v>3214.8478036395536</v>
      </c>
      <c r="F12" s="188">
        <f>TableauxNote!Q18</f>
        <v>3522.0658398247492</v>
      </c>
      <c r="G12" s="188">
        <f>TableauxNote!R18</f>
        <v>3860.3620959229734</v>
      </c>
      <c r="H12" s="188">
        <f>TableauxNote!S18</f>
        <v>4229.8449498188338</v>
      </c>
      <c r="I12" s="494"/>
    </row>
    <row r="14" spans="1:12" s="112" customFormat="1" x14ac:dyDescent="0.2">
      <c r="A14" s="108"/>
      <c r="B14" s="109"/>
      <c r="C14" s="110"/>
      <c r="D14" s="110"/>
      <c r="E14" s="110"/>
      <c r="F14" s="110"/>
      <c r="G14" s="110"/>
      <c r="H14" s="110"/>
      <c r="I14" s="111"/>
    </row>
    <row r="15" spans="1:12" ht="38.25" x14ac:dyDescent="0.2">
      <c r="A15" s="489" t="s">
        <v>146</v>
      </c>
      <c r="B15" s="490" t="str">
        <f>TableauxNote!C23</f>
        <v>2023/2022</v>
      </c>
      <c r="C15" s="490" t="str">
        <f>TableauxNote!D23</f>
        <v>2024/2023</v>
      </c>
      <c r="D15" s="490" t="str">
        <f>TableauxNote!E23</f>
        <v>2025/2024</v>
      </c>
      <c r="E15" s="490" t="str">
        <f>TableauxNote!F23</f>
        <v>2026/2025</v>
      </c>
      <c r="F15" s="490" t="str">
        <f>TableauxNote!G23</f>
        <v>2027/2026</v>
      </c>
      <c r="G15" s="490" t="str">
        <f>TableauxNote!H23</f>
        <v>2028/2027</v>
      </c>
      <c r="H15" s="504" t="s">
        <v>104</v>
      </c>
    </row>
    <row r="16" spans="1:12" x14ac:dyDescent="0.2">
      <c r="A16" s="498" t="s">
        <v>71</v>
      </c>
      <c r="B16" s="499">
        <f t="shared" ref="B16:G25" si="2">C2/B2-1</f>
        <v>2.2774721527067943E-2</v>
      </c>
      <c r="C16" s="499">
        <f t="shared" si="2"/>
        <v>4.0141615604309733E-2</v>
      </c>
      <c r="D16" s="499">
        <f t="shared" si="2"/>
        <v>3.3399115506908883E-2</v>
      </c>
      <c r="E16" s="499">
        <f t="shared" si="2"/>
        <v>3.3504063315376476E-2</v>
      </c>
      <c r="F16" s="499">
        <f t="shared" si="2"/>
        <v>3.3922299012868473E-2</v>
      </c>
      <c r="G16" s="499">
        <f t="shared" si="2"/>
        <v>3.2182342230709926E-2</v>
      </c>
      <c r="H16" s="500">
        <f t="shared" ref="H16:H26" si="3">(H2/D2)^(1/4)-1</f>
        <v>3.3251751867716672E-2</v>
      </c>
    </row>
    <row r="17" spans="1:12" x14ac:dyDescent="0.2">
      <c r="A17" s="493" t="s">
        <v>72</v>
      </c>
      <c r="B17" s="501">
        <f t="shared" si="2"/>
        <v>3.0202768944137093E-2</v>
      </c>
      <c r="C17" s="501">
        <f t="shared" si="2"/>
        <v>4.427545950865408E-2</v>
      </c>
      <c r="D17" s="501">
        <f t="shared" si="2"/>
        <v>3.4978274607152082E-2</v>
      </c>
      <c r="E17" s="501">
        <f t="shared" si="2"/>
        <v>3.4470404505182461E-2</v>
      </c>
      <c r="F17" s="501">
        <f t="shared" si="2"/>
        <v>3.4495478594417373E-2</v>
      </c>
      <c r="G17" s="501">
        <f t="shared" si="2"/>
        <v>3.2662549201471158E-2</v>
      </c>
      <c r="H17" s="500">
        <f t="shared" si="3"/>
        <v>3.4151299331799834E-2</v>
      </c>
    </row>
    <row r="18" spans="1:12" x14ac:dyDescent="0.2">
      <c r="A18" s="492" t="s">
        <v>73</v>
      </c>
      <c r="B18" s="500">
        <f t="shared" si="2"/>
        <v>2.2751729550209543E-2</v>
      </c>
      <c r="C18" s="500">
        <f t="shared" si="2"/>
        <v>3.8930383447187911E-2</v>
      </c>
      <c r="D18" s="500">
        <f t="shared" si="2"/>
        <v>3.3396406362335096E-2</v>
      </c>
      <c r="E18" s="500">
        <f t="shared" si="2"/>
        <v>3.3481776627156457E-2</v>
      </c>
      <c r="F18" s="500">
        <f t="shared" si="2"/>
        <v>3.3853625813726751E-2</v>
      </c>
      <c r="G18" s="500">
        <f t="shared" si="2"/>
        <v>3.221724814724336E-2</v>
      </c>
      <c r="H18" s="500">
        <f t="shared" si="3"/>
        <v>3.3237082047005817E-2</v>
      </c>
      <c r="J18" s="67"/>
    </row>
    <row r="19" spans="1:12" x14ac:dyDescent="0.2">
      <c r="A19" s="493" t="s">
        <v>74</v>
      </c>
      <c r="B19" s="501">
        <f t="shared" si="2"/>
        <v>6.0492178369768723E-2</v>
      </c>
      <c r="C19" s="501">
        <f t="shared" si="2"/>
        <v>2.5113340661168326E-2</v>
      </c>
      <c r="D19" s="501">
        <f t="shared" si="2"/>
        <v>1.9825295287725808E-2</v>
      </c>
      <c r="E19" s="501">
        <f t="shared" si="2"/>
        <v>1.9791170179135564E-2</v>
      </c>
      <c r="F19" s="501">
        <f t="shared" si="2"/>
        <v>1.9471181267386672E-2</v>
      </c>
      <c r="G19" s="501">
        <f t="shared" si="2"/>
        <v>1.910591326036104E-2</v>
      </c>
      <c r="H19" s="500">
        <f t="shared" si="3"/>
        <v>1.9548348632379975E-2</v>
      </c>
    </row>
    <row r="20" spans="1:12" x14ac:dyDescent="0.2">
      <c r="A20" s="493" t="s">
        <v>75</v>
      </c>
      <c r="B20" s="501">
        <f t="shared" si="2"/>
        <v>3.9888920704845843E-2</v>
      </c>
      <c r="C20" s="501">
        <f t="shared" si="2"/>
        <v>-7.6906622954564519E-3</v>
      </c>
      <c r="D20" s="501">
        <f t="shared" si="2"/>
        <v>4.9684466856294573E-3</v>
      </c>
      <c r="E20" s="501">
        <f t="shared" si="2"/>
        <v>-2.7326361400886734E-3</v>
      </c>
      <c r="F20" s="501">
        <f t="shared" si="2"/>
        <v>-5.6957495375258294E-3</v>
      </c>
      <c r="G20" s="501">
        <f t="shared" si="2"/>
        <v>-2.1703964606987647E-2</v>
      </c>
      <c r="H20" s="500">
        <f t="shared" si="3"/>
        <v>-6.3386316200072512E-3</v>
      </c>
    </row>
    <row r="21" spans="1:12" x14ac:dyDescent="0.2">
      <c r="A21" s="493" t="s">
        <v>76</v>
      </c>
      <c r="B21" s="501">
        <f t="shared" si="2"/>
        <v>5.1986517389273956E-2</v>
      </c>
      <c r="C21" s="501">
        <f t="shared" si="2"/>
        <v>2.8911641423626788E-2</v>
      </c>
      <c r="D21" s="501">
        <f t="shared" si="2"/>
        <v>2.3771340771448379E-2</v>
      </c>
      <c r="E21" s="501">
        <f t="shared" si="2"/>
        <v>2.2570638534838761E-2</v>
      </c>
      <c r="F21" s="501">
        <f t="shared" si="2"/>
        <v>2.307985376996613E-2</v>
      </c>
      <c r="G21" s="501">
        <f t="shared" si="2"/>
        <v>2.3541942108037173E-2</v>
      </c>
      <c r="H21" s="500">
        <f t="shared" si="3"/>
        <v>2.3240840293552001E-2</v>
      </c>
    </row>
    <row r="22" spans="1:12" x14ac:dyDescent="0.2">
      <c r="A22" s="493" t="s">
        <v>77</v>
      </c>
      <c r="B22" s="501">
        <f t="shared" si="2"/>
        <v>0.55636787463906345</v>
      </c>
      <c r="C22" s="501">
        <f t="shared" si="2"/>
        <v>-5.0000000000000044E-3</v>
      </c>
      <c r="D22" s="501">
        <f t="shared" si="2"/>
        <v>6.6122147742391668E-2</v>
      </c>
      <c r="E22" s="501">
        <f t="shared" si="2"/>
        <v>2.955286232446297E-2</v>
      </c>
      <c r="F22" s="501">
        <f t="shared" si="2"/>
        <v>3.0624390585676009E-2</v>
      </c>
      <c r="G22" s="501">
        <f t="shared" si="2"/>
        <v>3.1464659820295227E-2</v>
      </c>
      <c r="H22" s="500">
        <f t="shared" si="3"/>
        <v>3.9327924963571403E-2</v>
      </c>
    </row>
    <row r="23" spans="1:12" x14ac:dyDescent="0.2">
      <c r="A23" s="493" t="str">
        <f>A9</f>
        <v>Dont cotisations prises en charge par l'Etat</v>
      </c>
      <c r="B23" s="501">
        <f t="shared" si="2"/>
        <v>-8.0306145376741744E-2</v>
      </c>
      <c r="C23" s="501">
        <f t="shared" si="2"/>
        <v>6.7487198723334085E-2</v>
      </c>
      <c r="D23" s="501">
        <f t="shared" si="2"/>
        <v>3.7636071252562076E-2</v>
      </c>
      <c r="E23" s="501">
        <f t="shared" si="2"/>
        <v>2.4421927815965194E-2</v>
      </c>
      <c r="F23" s="501">
        <f t="shared" si="2"/>
        <v>3.4206597140925776E-2</v>
      </c>
      <c r="G23" s="501">
        <f t="shared" si="2"/>
        <v>4.3498657001685981E-2</v>
      </c>
      <c r="H23" s="500">
        <f t="shared" si="3"/>
        <v>3.491762032256629E-2</v>
      </c>
    </row>
    <row r="24" spans="1:12" x14ac:dyDescent="0.2">
      <c r="A24" s="493" t="str">
        <f>A10</f>
        <v>Dont reprises sur provisions</v>
      </c>
      <c r="B24" s="501">
        <f t="shared" si="2"/>
        <v>-9.8980328247379346E-2</v>
      </c>
      <c r="C24" s="501">
        <f t="shared" si="2"/>
        <v>7.3350420315201781E-2</v>
      </c>
      <c r="D24" s="501">
        <f t="shared" si="2"/>
        <v>3.2965404128189491E-2</v>
      </c>
      <c r="E24" s="501">
        <f t="shared" si="2"/>
        <v>3.2001909809224571E-2</v>
      </c>
      <c r="F24" s="501">
        <f t="shared" si="2"/>
        <v>2.9526154718687803E-2</v>
      </c>
      <c r="G24" s="501">
        <f t="shared" si="2"/>
        <v>2.872110104029435E-2</v>
      </c>
      <c r="H24" s="500">
        <f t="shared" si="3"/>
        <v>3.0802177842554901E-2</v>
      </c>
    </row>
    <row r="25" spans="1:12" x14ac:dyDescent="0.2">
      <c r="A25" s="502" t="str">
        <f>A11</f>
        <v>RESULTAT NET SA</v>
      </c>
      <c r="B25" s="500">
        <f t="shared" si="2"/>
        <v>1.678710834874475E-2</v>
      </c>
      <c r="C25" s="500">
        <f t="shared" si="2"/>
        <v>-0.27714007114474248</v>
      </c>
      <c r="D25" s="500">
        <f t="shared" si="2"/>
        <v>3.2379157969290917E-2</v>
      </c>
      <c r="E25" s="500">
        <f t="shared" si="2"/>
        <v>2.5105148700003355E-2</v>
      </c>
      <c r="F25" s="500">
        <f t="shared" si="2"/>
        <v>7.8307828504990962E-3</v>
      </c>
      <c r="G25" s="500">
        <f t="shared" si="2"/>
        <v>4.5786840159049547E-2</v>
      </c>
      <c r="H25" s="500">
        <f t="shared" si="3"/>
        <v>2.7684032267518255E-2</v>
      </c>
      <c r="K25" s="604" t="s">
        <v>161</v>
      </c>
      <c r="L25" s="604"/>
    </row>
    <row r="26" spans="1:12" x14ac:dyDescent="0.2">
      <c r="A26" s="191" t="str">
        <f>A12</f>
        <v>Contribution du RG</v>
      </c>
      <c r="B26" s="190">
        <f t="shared" ref="B26:G26" si="4">C12/B12-1</f>
        <v>6.0488824199320668E-3</v>
      </c>
      <c r="C26" s="190">
        <f t="shared" si="4"/>
        <v>6.8093516365509865E-2</v>
      </c>
      <c r="D26" s="190">
        <f t="shared" si="4"/>
        <v>9.1276413684361568E-2</v>
      </c>
      <c r="E26" s="190">
        <f t="shared" si="4"/>
        <v>9.556223340880754E-2</v>
      </c>
      <c r="F26" s="190">
        <f t="shared" si="4"/>
        <v>9.6050520201251377E-2</v>
      </c>
      <c r="G26" s="190">
        <f t="shared" si="4"/>
        <v>9.5711968130160807E-2</v>
      </c>
      <c r="H26" s="189">
        <f t="shared" si="3"/>
        <v>9.4648534089748715E-2</v>
      </c>
      <c r="K26" s="117" t="s">
        <v>283</v>
      </c>
    </row>
    <row r="28" spans="1:12" x14ac:dyDescent="0.2">
      <c r="A28" s="491" t="s">
        <v>94</v>
      </c>
      <c r="B28" s="490">
        <f t="shared" ref="B28:G28" si="5">C1</f>
        <v>2023</v>
      </c>
      <c r="C28" s="490" t="str">
        <f t="shared" si="5"/>
        <v>2024(p)</v>
      </c>
      <c r="D28" s="490" t="str">
        <f t="shared" si="5"/>
        <v>2025(p)</v>
      </c>
      <c r="E28" s="490" t="str">
        <f t="shared" si="5"/>
        <v>2026(p)</v>
      </c>
      <c r="F28" s="490" t="str">
        <f t="shared" si="5"/>
        <v>2027(p)</v>
      </c>
      <c r="G28" s="490" t="str">
        <f t="shared" si="5"/>
        <v>2028(p)</v>
      </c>
      <c r="H28" s="490" t="s">
        <v>163</v>
      </c>
    </row>
    <row r="29" spans="1:12" x14ac:dyDescent="0.2">
      <c r="A29" s="471" t="str">
        <f>A16</f>
        <v>Charges</v>
      </c>
      <c r="B29" s="463">
        <f t="shared" ref="B29:G29" si="6">(B2/B$2)*B16*100</f>
        <v>2.2774721527067943</v>
      </c>
      <c r="C29" s="463">
        <f t="shared" si="6"/>
        <v>4.0141615604309733</v>
      </c>
      <c r="D29" s="463">
        <f t="shared" si="6"/>
        <v>3.3399115506908883</v>
      </c>
      <c r="E29" s="463">
        <f t="shared" si="6"/>
        <v>3.3504063315376476</v>
      </c>
      <c r="F29" s="463">
        <f t="shared" si="6"/>
        <v>3.3922299012868473</v>
      </c>
      <c r="G29" s="463">
        <f t="shared" si="6"/>
        <v>3.2182342230709926</v>
      </c>
      <c r="H29" s="463">
        <f t="shared" ref="H29:H38" si="7">AVERAGE(C29:G29)</f>
        <v>3.4629887134034698</v>
      </c>
    </row>
    <row r="30" spans="1:12" x14ac:dyDescent="0.2">
      <c r="A30" s="183" t="s">
        <v>218</v>
      </c>
      <c r="B30" s="463">
        <f t="shared" ref="B30:G30" si="8">(B3/B$4)*B17*100</f>
        <v>2.6361655983107051</v>
      </c>
      <c r="C30" s="463">
        <f t="shared" si="8"/>
        <v>3.8926153903243694</v>
      </c>
      <c r="D30" s="463">
        <f t="shared" si="8"/>
        <v>3.0910457002743206</v>
      </c>
      <c r="E30" s="463">
        <f t="shared" si="8"/>
        <v>3.0508279005697321</v>
      </c>
      <c r="F30" s="463">
        <f t="shared" si="8"/>
        <v>3.055967643365114</v>
      </c>
      <c r="G30" s="463">
        <f t="shared" si="8"/>
        <v>2.8953841686178809</v>
      </c>
      <c r="H30" s="463">
        <f t="shared" si="7"/>
        <v>3.1971681606302829</v>
      </c>
    </row>
    <row r="31" spans="1:12" x14ac:dyDescent="0.2">
      <c r="A31" s="503" t="s">
        <v>73</v>
      </c>
      <c r="B31" s="505">
        <f t="shared" ref="B31:G37" si="9">(B4/B$4)*B18*100</f>
        <v>2.2751729550209543</v>
      </c>
      <c r="C31" s="463">
        <f t="shared" si="9"/>
        <v>3.8930383447187911</v>
      </c>
      <c r="D31" s="505">
        <f t="shared" si="9"/>
        <v>3.3396406362335096</v>
      </c>
      <c r="E31" s="505">
        <f t="shared" si="9"/>
        <v>3.3481776627156457</v>
      </c>
      <c r="F31" s="505">
        <f t="shared" si="9"/>
        <v>3.3853625813726751</v>
      </c>
      <c r="G31" s="505">
        <f t="shared" si="9"/>
        <v>3.221724814724336</v>
      </c>
      <c r="H31" s="463">
        <f t="shared" si="7"/>
        <v>3.4375888079529915</v>
      </c>
    </row>
    <row r="32" spans="1:12" x14ac:dyDescent="0.2">
      <c r="A32" s="183" t="s">
        <v>74</v>
      </c>
      <c r="B32" s="463">
        <f t="shared" si="9"/>
        <v>2.3166145992401006</v>
      </c>
      <c r="C32" s="463">
        <f t="shared" si="9"/>
        <v>0.99723221543140794</v>
      </c>
      <c r="D32" s="463">
        <f t="shared" si="9"/>
        <v>0.77677799594178276</v>
      </c>
      <c r="E32" s="463">
        <f t="shared" si="9"/>
        <v>0.7652574320601282</v>
      </c>
      <c r="F32" s="463">
        <f t="shared" si="9"/>
        <v>0.74291103101835487</v>
      </c>
      <c r="G32" s="463">
        <f t="shared" si="9"/>
        <v>0.71883333232797475</v>
      </c>
      <c r="H32" s="463">
        <f t="shared" si="7"/>
        <v>0.80020240135592968</v>
      </c>
    </row>
    <row r="33" spans="1:19" x14ac:dyDescent="0.2">
      <c r="A33" s="183" t="s">
        <v>75</v>
      </c>
      <c r="B33" s="463">
        <f t="shared" si="9"/>
        <v>0.6416787662943495</v>
      </c>
      <c r="C33" s="463">
        <f t="shared" si="9"/>
        <v>-0.12578992344518161</v>
      </c>
      <c r="D33" s="463">
        <f t="shared" si="9"/>
        <v>7.7618165862722174E-2</v>
      </c>
      <c r="E33" s="463">
        <f t="shared" si="9"/>
        <v>-4.151547670990384E-2</v>
      </c>
      <c r="F33" s="463">
        <f t="shared" si="9"/>
        <v>-8.3500271696771433E-2</v>
      </c>
      <c r="G33" s="463">
        <f t="shared" si="9"/>
        <v>-0.30601049284656245</v>
      </c>
      <c r="H33" s="463">
        <f t="shared" si="7"/>
        <v>-9.5839599767139433E-2</v>
      </c>
    </row>
    <row r="34" spans="1:19" x14ac:dyDescent="0.2">
      <c r="A34" s="183" t="s">
        <v>76</v>
      </c>
      <c r="B34" s="463">
        <f t="shared" si="9"/>
        <v>0.36128371119252356</v>
      </c>
      <c r="C34" s="463">
        <f t="shared" si="9"/>
        <v>0.20666662956795187</v>
      </c>
      <c r="D34" s="463">
        <f t="shared" si="9"/>
        <v>0.16828403604873235</v>
      </c>
      <c r="E34" s="463">
        <f t="shared" si="9"/>
        <v>0.15829569649483158</v>
      </c>
      <c r="F34" s="463">
        <f t="shared" si="9"/>
        <v>0.16015806410500888</v>
      </c>
      <c r="G34" s="463">
        <f t="shared" si="9"/>
        <v>0.16166221417336041</v>
      </c>
      <c r="H34" s="463">
        <f t="shared" si="7"/>
        <v>0.17101332807797701</v>
      </c>
      <c r="S34" s="181"/>
    </row>
    <row r="35" spans="1:19" x14ac:dyDescent="0.2">
      <c r="A35" s="183" t="s">
        <v>77</v>
      </c>
      <c r="B35" s="463">
        <f t="shared" si="9"/>
        <v>4.1814654845094633E-2</v>
      </c>
      <c r="C35" s="463">
        <f t="shared" si="9"/>
        <v>-5.7184524014639894E-4</v>
      </c>
      <c r="D35" s="463">
        <f t="shared" si="9"/>
        <v>7.242559824391228E-3</v>
      </c>
      <c r="E35" s="463">
        <f t="shared" si="9"/>
        <v>3.3395250749720462E-3</v>
      </c>
      <c r="F35" s="463">
        <f t="shared" si="9"/>
        <v>3.4474536865745898E-3</v>
      </c>
      <c r="G35" s="463">
        <f t="shared" si="9"/>
        <v>3.5309810524587555E-3</v>
      </c>
      <c r="H35" s="463">
        <f t="shared" si="7"/>
        <v>3.3977348796500446E-3</v>
      </c>
    </row>
    <row r="36" spans="1:19" x14ac:dyDescent="0.2">
      <c r="A36" s="183" t="str">
        <f>A23</f>
        <v>Dont cotisations prises en charge par l'Etat</v>
      </c>
      <c r="B36" s="463">
        <f t="shared" si="9"/>
        <v>-0.27196372753425307</v>
      </c>
      <c r="C36" s="463">
        <f t="shared" si="9"/>
        <v>0.20552121937773465</v>
      </c>
      <c r="D36" s="463">
        <f t="shared" si="9"/>
        <v>0.11776487532966222</v>
      </c>
      <c r="E36" s="463">
        <f t="shared" si="9"/>
        <v>7.6730769146753586E-2</v>
      </c>
      <c r="F36" s="463">
        <f t="shared" si="9"/>
        <v>0.10653088234134171</v>
      </c>
      <c r="G36" s="463">
        <f t="shared" si="9"/>
        <v>0.13551574229950103</v>
      </c>
      <c r="H36" s="463">
        <f t="shared" si="7"/>
        <v>0.12841269769899863</v>
      </c>
    </row>
    <row r="37" spans="1:19" x14ac:dyDescent="0.2">
      <c r="A37" s="183" t="str">
        <f>A24</f>
        <v>Dont reprises sur provisions</v>
      </c>
      <c r="B37" s="463">
        <f t="shared" si="9"/>
        <v>-0.50687994023313132</v>
      </c>
      <c r="C37" s="463">
        <f t="shared" si="9"/>
        <v>0.33091989036724984</v>
      </c>
      <c r="D37" s="463">
        <f t="shared" si="9"/>
        <v>0.15365042027413753</v>
      </c>
      <c r="E37" s="463">
        <f t="shared" si="9"/>
        <v>0.14909740155991624</v>
      </c>
      <c r="F37" s="463">
        <f t="shared" si="9"/>
        <v>0.13736584019011958</v>
      </c>
      <c r="G37" s="463">
        <f t="shared" si="9"/>
        <v>0.13306114905300517</v>
      </c>
      <c r="H37" s="463">
        <f t="shared" si="7"/>
        <v>0.18081894028888565</v>
      </c>
    </row>
    <row r="38" spans="1:19" x14ac:dyDescent="0.2">
      <c r="A38" s="191" t="str">
        <f>A12</f>
        <v>Contribution du RG</v>
      </c>
      <c r="B38" s="283">
        <f t="shared" ref="B38:G38" si="10">(B12/B$4)*B26*100</f>
        <v>0.10683640608774415</v>
      </c>
      <c r="C38" s="283">
        <f t="shared" si="10"/>
        <v>1.1830381499600899</v>
      </c>
      <c r="D38" s="283">
        <f t="shared" si="10"/>
        <v>1.6303257474226156</v>
      </c>
      <c r="E38" s="283">
        <f t="shared" si="10"/>
        <v>1.8024778322229262</v>
      </c>
      <c r="F38" s="283">
        <f t="shared" si="10"/>
        <v>1.9205145064860603</v>
      </c>
      <c r="G38" s="283">
        <f t="shared" si="10"/>
        <v>2.0288766067402699</v>
      </c>
      <c r="H38" s="283">
        <f t="shared" si="7"/>
        <v>1.7130465685663925</v>
      </c>
    </row>
    <row r="49" spans="11:12" x14ac:dyDescent="0.2">
      <c r="K49" s="604" t="s">
        <v>164</v>
      </c>
      <c r="L49" s="604"/>
    </row>
  </sheetData>
  <mergeCells count="3">
    <mergeCell ref="K25:L25"/>
    <mergeCell ref="K49:L49"/>
    <mergeCell ref="K2:L2"/>
  </mergeCells>
  <phoneticPr fontId="4" type="noConversion"/>
  <pageMargins left="0.78740157499999996" right="0.78740157499999996" top="0.984251969" bottom="0.984251969" header="0.4921259845" footer="0.4921259845"/>
  <pageSetup paperSize="9" orientation="portrait" horizontalDpi="4294967295" verticalDpi="4294967295" r:id="rId1"/>
  <headerFooter alignWithMargins="0"/>
  <ignoredErrors>
    <ignoredError sqref="C22" evalError="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J34"/>
  <sheetViews>
    <sheetView topLeftCell="J10" zoomScaleNormal="100" workbookViewId="0">
      <selection activeCell="H42" sqref="H42"/>
    </sheetView>
  </sheetViews>
  <sheetFormatPr baseColWidth="10" defaultRowHeight="12.75" x14ac:dyDescent="0.2"/>
  <cols>
    <col min="1" max="1" width="34.28515625" customWidth="1"/>
    <col min="8" max="8" width="21.7109375" bestFit="1" customWidth="1"/>
  </cols>
  <sheetData>
    <row r="1" spans="1:10" ht="38.25" x14ac:dyDescent="0.2">
      <c r="A1" s="489" t="s">
        <v>282</v>
      </c>
      <c r="B1" s="490">
        <f>TableauxNote!C4</f>
        <v>2022</v>
      </c>
      <c r="C1" s="490">
        <f>TableauxNote!D4</f>
        <v>2023</v>
      </c>
      <c r="D1" s="490" t="str">
        <f>TableauxNote!E4</f>
        <v>2024(p)</v>
      </c>
      <c r="E1" s="490" t="str">
        <f>TableauxNote!F4</f>
        <v>2025(p)</v>
      </c>
      <c r="F1" s="490" t="str">
        <f>TableauxNote!G4</f>
        <v>2026(p)</v>
      </c>
      <c r="G1" s="490" t="str">
        <f>TableauxNote!H4</f>
        <v>2027(p)</v>
      </c>
      <c r="H1" s="490" t="str">
        <f>TableauxNote!I4</f>
        <v>2028(p)</v>
      </c>
      <c r="J1" s="117" t="s">
        <v>274</v>
      </c>
    </row>
    <row r="2" spans="1:10" x14ac:dyDescent="0.2">
      <c r="A2" s="68" t="s">
        <v>71</v>
      </c>
      <c r="B2" s="69">
        <f>'Détail CHG PDT'!B5</f>
        <v>6893.7466213700009</v>
      </c>
      <c r="C2" s="69">
        <f>'Détail CHG PDT'!C5</f>
        <v>7234.5708767199994</v>
      </c>
      <c r="D2" s="69">
        <f>'Détail CHG PDT'!D5</f>
        <v>7615.2751465405745</v>
      </c>
      <c r="E2" s="69">
        <f>'Détail CHG PDT'!E5</f>
        <v>7889.1581563343134</v>
      </c>
      <c r="F2" s="69">
        <f>'Détail CHG PDT'!F5</f>
        <v>8138.6708055944364</v>
      </c>
      <c r="G2" s="69">
        <f>'Détail CHG PDT'!G5</f>
        <v>8418.9245427860769</v>
      </c>
      <c r="H2" s="69">
        <f>'Détail CHG PDT'!H5</f>
        <v>8675.6387048341967</v>
      </c>
    </row>
    <row r="3" spans="1:10" x14ac:dyDescent="0.2">
      <c r="A3" s="70" t="s">
        <v>72</v>
      </c>
      <c r="B3" s="71">
        <f>TableauxNote!C45</f>
        <v>6499.3807921200005</v>
      </c>
      <c r="C3" s="71">
        <f>TableauxNote!D45</f>
        <v>6815.5706679599989</v>
      </c>
      <c r="D3" s="71">
        <f>TableauxNote!E45</f>
        <v>7284.2646268801645</v>
      </c>
      <c r="E3" s="71">
        <f>TableauxNote!F45</f>
        <v>7551.4400078241024</v>
      </c>
      <c r="F3" s="71">
        <f>TableauxNote!G45</f>
        <v>7794.5590624373581</v>
      </c>
      <c r="G3" s="71">
        <f>TableauxNote!H45</f>
        <v>8068.0502787270725</v>
      </c>
      <c r="H3" s="71">
        <f>TableauxNote!I45</f>
        <v>8318.1767148734343</v>
      </c>
    </row>
    <row r="4" spans="1:10" x14ac:dyDescent="0.2">
      <c r="A4" s="68" t="s">
        <v>73</v>
      </c>
      <c r="B4" s="69">
        <f>'Détail CHG PDT'!B13</f>
        <v>6893.7466213700009</v>
      </c>
      <c r="C4" s="69">
        <f>'Détail CHG PDT'!C13</f>
        <v>7234.6103347100006</v>
      </c>
      <c r="D4" s="69">
        <f>'Détail CHG PDT'!D13</f>
        <v>7615.2751465405736</v>
      </c>
      <c r="E4" s="69">
        <f>'Détail CHG PDT'!E13</f>
        <v>7889.1581563343143</v>
      </c>
      <c r="F4" s="69">
        <f>'Détail CHG PDT'!F13</f>
        <v>8138.6708055944373</v>
      </c>
      <c r="G4" s="69">
        <f>'Détail CHG PDT'!G13</f>
        <v>8418.9245427860769</v>
      </c>
      <c r="H4" s="69">
        <f>'Détail CHG PDT'!H13</f>
        <v>8675.6387048341967</v>
      </c>
    </row>
    <row r="5" spans="1:10" x14ac:dyDescent="0.2">
      <c r="A5" s="70" t="s">
        <v>74</v>
      </c>
      <c r="B5" s="71">
        <f>TableauxNote!C52</f>
        <v>3132.4160716800002</v>
      </c>
      <c r="C5" s="71">
        <f>TableauxNote!D52</f>
        <v>3352.37812231</v>
      </c>
      <c r="D5" s="71">
        <f>TableauxNote!E52</f>
        <v>3443.9700552472873</v>
      </c>
      <c r="E5" s="71">
        <f>TableauxNote!F52</f>
        <v>3512.4640887295559</v>
      </c>
      <c r="F5" s="71">
        <f>TableauxNote!G52</f>
        <v>3581.285171898046</v>
      </c>
      <c r="G5" s="71">
        <f>TableauxNote!H52</f>
        <v>3650.5238947125549</v>
      </c>
      <c r="H5" s="71">
        <f>TableauxNote!I52</f>
        <v>3719.9725091312648</v>
      </c>
    </row>
    <row r="6" spans="1:10" x14ac:dyDescent="0.2">
      <c r="A6" s="70" t="s">
        <v>75</v>
      </c>
      <c r="B6" s="71">
        <f>'Détail CHG PDT'!B28</f>
        <v>2497</v>
      </c>
      <c r="C6" s="71">
        <f>'Détail CHG PDT'!C28</f>
        <v>2596.6026350000002</v>
      </c>
      <c r="D6" s="71">
        <f>'Détail CHG PDT'!D28</f>
        <v>2576.6330410187229</v>
      </c>
      <c r="E6" s="71">
        <f>'Détail CHG PDT'!E28</f>
        <v>2589.4349049114558</v>
      </c>
      <c r="F6" s="71">
        <f>'Détail CHG PDT'!F28</f>
        <v>2582.3589215078878</v>
      </c>
      <c r="G6" s="71">
        <f>'Détail CHG PDT'!G28</f>
        <v>2567.6504518749834</v>
      </c>
      <c r="H6" s="71">
        <f>'Détail CHG PDT'!H30</f>
        <v>2511.9222573443731</v>
      </c>
      <c r="I6" s="67"/>
    </row>
    <row r="7" spans="1:10" x14ac:dyDescent="0.2">
      <c r="A7" s="70" t="s">
        <v>76</v>
      </c>
      <c r="B7" s="71">
        <f>'Détail CHG PDT'!B41</f>
        <v>0</v>
      </c>
      <c r="C7" s="71">
        <f>'Détail CHG PDT'!C41</f>
        <v>0</v>
      </c>
      <c r="D7" s="71">
        <f>'Détail CHG PDT'!D41</f>
        <v>0</v>
      </c>
      <c r="E7" s="71">
        <f>'Détail CHG PDT'!E41</f>
        <v>0</v>
      </c>
      <c r="F7" s="71">
        <f>'Détail CHG PDT'!F41</f>
        <v>0</v>
      </c>
      <c r="G7" s="71">
        <f>'Détail CHG PDT'!G41</f>
        <v>0</v>
      </c>
      <c r="H7" s="71">
        <f>'Détail CHG PDT'!H43</f>
        <v>1280.0016625519179</v>
      </c>
    </row>
    <row r="8" spans="1:10" x14ac:dyDescent="0.2">
      <c r="A8" s="70" t="s">
        <v>77</v>
      </c>
      <c r="B8" s="71">
        <f>'Détail CHG PDT'!B21</f>
        <v>0</v>
      </c>
      <c r="C8" s="71">
        <f>'Détail CHG PDT'!C21</f>
        <v>0</v>
      </c>
      <c r="D8" s="71">
        <f>'Détail CHG PDT'!D21</f>
        <v>0</v>
      </c>
      <c r="E8" s="71">
        <f>'Détail CHG PDT'!E21</f>
        <v>0</v>
      </c>
      <c r="F8" s="71">
        <f>'Détail CHG PDT'!F21</f>
        <v>0</v>
      </c>
      <c r="G8" s="71">
        <f>'Détail CHG PDT'!G21</f>
        <v>0</v>
      </c>
      <c r="H8" s="71">
        <f>'Détail CHG PDT'!H23</f>
        <v>21.079745043934039</v>
      </c>
    </row>
    <row r="9" spans="1:10" x14ac:dyDescent="0.2">
      <c r="A9" s="70" t="s">
        <v>135</v>
      </c>
      <c r="B9" s="71">
        <f>'Détail CHG PDT'!B35</f>
        <v>268.16722089000001</v>
      </c>
      <c r="C9" s="71">
        <f>'Détail CHG PDT'!C35</f>
        <v>240.55728690000001</v>
      </c>
      <c r="D9" s="71">
        <f>'Détail CHG PDT'!D35</f>
        <v>258.90922815723701</v>
      </c>
      <c r="E9" s="71">
        <f>'Détail CHG PDT'!E35</f>
        <v>268.6683826278848</v>
      </c>
      <c r="F9" s="71">
        <f>'Détail CHG PDT'!F35</f>
        <v>275.45365616519035</v>
      </c>
      <c r="G9" s="71">
        <f>'Détail CHG PDT'!G35</f>
        <v>284.96455171025087</v>
      </c>
      <c r="H9" s="71">
        <f>'Détail CHG PDT'!H35</f>
        <v>297.35908307476438</v>
      </c>
    </row>
    <row r="10" spans="1:10" x14ac:dyDescent="0.2">
      <c r="A10" s="70" t="s">
        <v>129</v>
      </c>
      <c r="B10" s="71">
        <f>'Détail CHG PDT'!B48</f>
        <v>193.13758862000003</v>
      </c>
      <c r="C10" s="71">
        <f>'Détail CHG PDT'!C48</f>
        <v>158.78605741000001</v>
      </c>
      <c r="D10" s="71">
        <f>'Détail CHG PDT'!D48</f>
        <v>191.40549885999997</v>
      </c>
      <c r="E10" s="71">
        <f>'Détail CHG PDT'!E48</f>
        <v>199.12931945092092</v>
      </c>
      <c r="F10" s="71">
        <f>'Détail CHG PDT'!F48</f>
        <v>206.3034863925223</v>
      </c>
      <c r="G10" s="71">
        <f>'Détail CHG PDT'!G48</f>
        <v>210.94539155741231</v>
      </c>
      <c r="H10" s="71">
        <f>'Détail CHG PDT'!H48</f>
        <v>216.29562809732266</v>
      </c>
    </row>
    <row r="11" spans="1:10" x14ac:dyDescent="0.2">
      <c r="A11" s="72" t="s">
        <v>39</v>
      </c>
      <c r="B11" s="69">
        <f t="shared" ref="B11:H11" si="0">B4-B2</f>
        <v>0</v>
      </c>
      <c r="C11" s="69">
        <f t="shared" si="0"/>
        <v>3.9457990001210419E-2</v>
      </c>
      <c r="D11" s="69">
        <f t="shared" si="0"/>
        <v>0</v>
      </c>
      <c r="E11" s="69">
        <f t="shared" si="0"/>
        <v>0</v>
      </c>
      <c r="F11" s="69">
        <f t="shared" si="0"/>
        <v>0</v>
      </c>
      <c r="G11" s="69">
        <f t="shared" si="0"/>
        <v>0</v>
      </c>
      <c r="H11" s="69">
        <f t="shared" si="0"/>
        <v>0</v>
      </c>
    </row>
    <row r="12" spans="1:10" x14ac:dyDescent="0.2">
      <c r="B12" s="91" t="b">
        <f>B11=TableauxNote!L8</f>
        <v>1</v>
      </c>
      <c r="C12" s="91" t="b">
        <f>C11=TableauxNote!M8</f>
        <v>1</v>
      </c>
      <c r="D12" s="91" t="b">
        <f>D11=TableauxNote!N8</f>
        <v>1</v>
      </c>
      <c r="E12" s="91" t="b">
        <f>E11=TableauxNote!O8</f>
        <v>1</v>
      </c>
      <c r="F12" s="91" t="b">
        <f>F11=TableauxNote!P8</f>
        <v>1</v>
      </c>
      <c r="G12" s="91" t="b">
        <f>G11=TableauxNote!Q8</f>
        <v>1</v>
      </c>
      <c r="H12" s="91" t="b">
        <f>H11=TableauxNote!R8</f>
        <v>1</v>
      </c>
    </row>
    <row r="13" spans="1:10" s="112" customFormat="1" x14ac:dyDescent="0.2">
      <c r="A13" s="108"/>
      <c r="B13" s="109"/>
      <c r="C13" s="110"/>
      <c r="D13" s="110"/>
      <c r="E13" s="110"/>
      <c r="F13" s="110"/>
      <c r="G13" s="110"/>
      <c r="H13" s="110"/>
    </row>
    <row r="14" spans="1:10" ht="38.25" x14ac:dyDescent="0.2">
      <c r="A14" s="489" t="s">
        <v>146</v>
      </c>
      <c r="B14" s="490" t="str">
        <f>TableauxNote!C23</f>
        <v>2023/2022</v>
      </c>
      <c r="C14" s="490" t="str">
        <f>TableauxNote!D23</f>
        <v>2024/2023</v>
      </c>
      <c r="D14" s="490" t="str">
        <f>TableauxNote!E23</f>
        <v>2025/2024</v>
      </c>
      <c r="E14" s="490" t="str">
        <f>TableauxNote!F23</f>
        <v>2026/2025</v>
      </c>
      <c r="F14" s="490" t="str">
        <f>TableauxNote!G23</f>
        <v>2027/2026</v>
      </c>
      <c r="G14" s="490" t="str">
        <f>TableauxNote!H23</f>
        <v>2028/2027</v>
      </c>
      <c r="H14" s="490" t="s">
        <v>104</v>
      </c>
    </row>
    <row r="15" spans="1:10" x14ac:dyDescent="0.2">
      <c r="A15" s="68" t="s">
        <v>71</v>
      </c>
      <c r="B15" s="98">
        <f>C2/B2-1</f>
        <v>4.9439626094390121E-2</v>
      </c>
      <c r="C15" s="98">
        <f t="shared" ref="B15:G24" si="1">D2/C2-1</f>
        <v>5.2622923502710695E-2</v>
      </c>
      <c r="D15" s="98">
        <f>E2/D2-1</f>
        <v>3.5964952614766288E-2</v>
      </c>
      <c r="E15" s="98">
        <f t="shared" si="1"/>
        <v>3.1627284472651285E-2</v>
      </c>
      <c r="F15" s="98">
        <f t="shared" si="1"/>
        <v>3.4434828964822639E-2</v>
      </c>
      <c r="G15" s="98">
        <f t="shared" si="1"/>
        <v>3.0492512522646509E-2</v>
      </c>
      <c r="H15" s="98">
        <f t="shared" ref="H15:H24" si="2">((H2/D2)^(1/5))-1</f>
        <v>2.6415428872628155E-2</v>
      </c>
    </row>
    <row r="16" spans="1:10" x14ac:dyDescent="0.2">
      <c r="A16" s="70" t="s">
        <v>72</v>
      </c>
      <c r="B16" s="99">
        <f t="shared" si="1"/>
        <v>4.8649230742620064E-2</v>
      </c>
      <c r="C16" s="99">
        <f t="shared" si="1"/>
        <v>6.8768116677814906E-2</v>
      </c>
      <c r="D16" s="99">
        <f t="shared" si="1"/>
        <v>3.6678428726767409E-2</v>
      </c>
      <c r="E16" s="99">
        <f t="shared" si="1"/>
        <v>3.2195058738645699E-2</v>
      </c>
      <c r="F16" s="99">
        <f t="shared" si="1"/>
        <v>3.5087451913436984E-2</v>
      </c>
      <c r="G16" s="99">
        <f t="shared" si="1"/>
        <v>3.1002091893981731E-2</v>
      </c>
      <c r="H16" s="99">
        <f t="shared" si="2"/>
        <v>2.6900784299225267E-2</v>
      </c>
    </row>
    <row r="17" spans="1:10" x14ac:dyDescent="0.2">
      <c r="A17" s="68" t="s">
        <v>73</v>
      </c>
      <c r="B17" s="98">
        <f t="shared" si="1"/>
        <v>4.9445349831012342E-2</v>
      </c>
      <c r="C17" s="98">
        <f t="shared" si="1"/>
        <v>5.2617182435414689E-2</v>
      </c>
      <c r="D17" s="98">
        <f t="shared" si="1"/>
        <v>3.596495261476651E-2</v>
      </c>
      <c r="E17" s="98">
        <f t="shared" si="1"/>
        <v>3.1627284472651285E-2</v>
      </c>
      <c r="F17" s="98">
        <f t="shared" si="1"/>
        <v>3.4434828964822639E-2</v>
      </c>
      <c r="G17" s="98">
        <f t="shared" si="1"/>
        <v>3.0492512522646509E-2</v>
      </c>
      <c r="H17" s="98">
        <f t="shared" si="2"/>
        <v>2.6415428872628155E-2</v>
      </c>
    </row>
    <row r="18" spans="1:10" x14ac:dyDescent="0.2">
      <c r="A18" s="70" t="s">
        <v>74</v>
      </c>
      <c r="B18" s="99">
        <f t="shared" si="1"/>
        <v>7.0221211230099501E-2</v>
      </c>
      <c r="C18" s="99">
        <f t="shared" si="1"/>
        <v>2.7321480332944903E-2</v>
      </c>
      <c r="D18" s="99">
        <f t="shared" si="1"/>
        <v>1.9888103666264367E-2</v>
      </c>
      <c r="E18" s="99">
        <f t="shared" si="1"/>
        <v>1.9593391257526571E-2</v>
      </c>
      <c r="F18" s="99">
        <f t="shared" si="1"/>
        <v>1.9333484905870613E-2</v>
      </c>
      <c r="G18" s="99">
        <f t="shared" si="1"/>
        <v>1.9024287039813625E-2</v>
      </c>
      <c r="H18" s="99">
        <f t="shared" si="2"/>
        <v>1.5537752174159314E-2</v>
      </c>
    </row>
    <row r="19" spans="1:10" x14ac:dyDescent="0.2">
      <c r="A19" s="70" t="s">
        <v>75</v>
      </c>
      <c r="B19" s="99">
        <f t="shared" si="1"/>
        <v>3.9888920704845843E-2</v>
      </c>
      <c r="C19" s="99">
        <f t="shared" si="1"/>
        <v>-7.6906622954564519E-3</v>
      </c>
      <c r="D19" s="99">
        <f t="shared" si="1"/>
        <v>4.9684466856294573E-3</v>
      </c>
      <c r="E19" s="99">
        <f t="shared" si="1"/>
        <v>-2.7326361400886734E-3</v>
      </c>
      <c r="F19" s="99">
        <f t="shared" si="1"/>
        <v>-5.6957495375258294E-3</v>
      </c>
      <c r="G19" s="99">
        <f t="shared" si="1"/>
        <v>-2.1703964606987647E-2</v>
      </c>
      <c r="H19" s="99">
        <f t="shared" si="2"/>
        <v>-5.0741277342024604E-3</v>
      </c>
    </row>
    <row r="20" spans="1:10" x14ac:dyDescent="0.2">
      <c r="A20" s="70" t="s">
        <v>76</v>
      </c>
      <c r="B20" s="99" t="e">
        <f>C7/B7-1</f>
        <v>#DIV/0!</v>
      </c>
      <c r="C20" s="99" t="e">
        <f t="shared" si="1"/>
        <v>#DIV/0!</v>
      </c>
      <c r="D20" s="99" t="e">
        <f t="shared" si="1"/>
        <v>#DIV/0!</v>
      </c>
      <c r="E20" s="99" t="e">
        <f t="shared" si="1"/>
        <v>#DIV/0!</v>
      </c>
      <c r="F20" s="99" t="e">
        <f t="shared" si="1"/>
        <v>#DIV/0!</v>
      </c>
      <c r="G20" s="99" t="e">
        <f t="shared" si="1"/>
        <v>#DIV/0!</v>
      </c>
      <c r="H20" s="99" t="e">
        <f t="shared" si="2"/>
        <v>#DIV/0!</v>
      </c>
    </row>
    <row r="21" spans="1:10" x14ac:dyDescent="0.2">
      <c r="A21" s="70" t="s">
        <v>77</v>
      </c>
      <c r="B21" s="99" t="e">
        <f t="shared" si="1"/>
        <v>#DIV/0!</v>
      </c>
      <c r="C21" s="99" t="e">
        <f t="shared" si="1"/>
        <v>#DIV/0!</v>
      </c>
      <c r="D21" s="99" t="e">
        <f t="shared" si="1"/>
        <v>#DIV/0!</v>
      </c>
      <c r="E21" s="99" t="e">
        <f t="shared" si="1"/>
        <v>#DIV/0!</v>
      </c>
      <c r="F21" s="99" t="e">
        <f t="shared" si="1"/>
        <v>#DIV/0!</v>
      </c>
      <c r="G21" s="99" t="e">
        <f t="shared" si="1"/>
        <v>#DIV/0!</v>
      </c>
      <c r="H21" s="99" t="e">
        <f t="shared" si="2"/>
        <v>#DIV/0!</v>
      </c>
    </row>
    <row r="22" spans="1:10" x14ac:dyDescent="0.2">
      <c r="A22" s="70" t="str">
        <f>A9</f>
        <v>Dont cotisations prises en charge par l'Etat</v>
      </c>
      <c r="B22" s="99">
        <f t="shared" si="1"/>
        <v>-0.10295790029209184</v>
      </c>
      <c r="C22" s="99">
        <f t="shared" si="1"/>
        <v>7.6289276012935447E-2</v>
      </c>
      <c r="D22" s="99">
        <f t="shared" si="1"/>
        <v>3.7693343493809373E-2</v>
      </c>
      <c r="E22" s="99">
        <f t="shared" si="1"/>
        <v>2.5255199256934535E-2</v>
      </c>
      <c r="F22" s="99">
        <f t="shared" si="1"/>
        <v>3.4528115100991075E-2</v>
      </c>
      <c r="G22" s="99">
        <f t="shared" si="1"/>
        <v>4.349499364087972E-2</v>
      </c>
      <c r="H22" s="99">
        <f t="shared" si="2"/>
        <v>2.8079586200502771E-2</v>
      </c>
    </row>
    <row r="23" spans="1:10" x14ac:dyDescent="0.2">
      <c r="A23" s="70" t="str">
        <f>A10</f>
        <v>Dont reprises sur provisions</v>
      </c>
      <c r="B23" s="99">
        <f t="shared" si="1"/>
        <v>-0.17786041264907249</v>
      </c>
      <c r="C23" s="99">
        <f t="shared" si="1"/>
        <v>0.20543013651238651</v>
      </c>
      <c r="D23" s="99">
        <f t="shared" si="1"/>
        <v>4.0353180221694762E-2</v>
      </c>
      <c r="E23" s="99">
        <f t="shared" si="1"/>
        <v>3.6027677699012051E-2</v>
      </c>
      <c r="F23" s="99">
        <f t="shared" si="1"/>
        <v>2.2500371884448533E-2</v>
      </c>
      <c r="G23" s="99">
        <f t="shared" si="1"/>
        <v>2.5363135456098362E-2</v>
      </c>
      <c r="H23" s="99">
        <f t="shared" si="2"/>
        <v>2.4751744175850687E-2</v>
      </c>
    </row>
    <row r="24" spans="1:10" x14ac:dyDescent="0.2">
      <c r="A24" s="72" t="str">
        <f>A11</f>
        <v>RESULTAT NET SA</v>
      </c>
      <c r="B24" s="98" t="e">
        <f t="shared" si="1"/>
        <v>#DIV/0!</v>
      </c>
      <c r="C24" s="98">
        <f t="shared" si="1"/>
        <v>-1</v>
      </c>
      <c r="D24" s="98" t="e">
        <f t="shared" si="1"/>
        <v>#DIV/0!</v>
      </c>
      <c r="E24" s="98" t="e">
        <f t="shared" si="1"/>
        <v>#DIV/0!</v>
      </c>
      <c r="F24" s="98" t="e">
        <f t="shared" si="1"/>
        <v>#DIV/0!</v>
      </c>
      <c r="G24" s="98" t="e">
        <f t="shared" si="1"/>
        <v>#DIV/0!</v>
      </c>
      <c r="H24" s="98" t="e">
        <f t="shared" si="2"/>
        <v>#DIV/0!</v>
      </c>
    </row>
    <row r="25" spans="1:10" x14ac:dyDescent="0.2">
      <c r="I25" s="181"/>
      <c r="J25" s="117" t="s">
        <v>275</v>
      </c>
    </row>
    <row r="27" spans="1:10" x14ac:dyDescent="0.2">
      <c r="A27" s="491" t="s">
        <v>94</v>
      </c>
      <c r="B27" s="490">
        <f t="shared" ref="B27:G27" si="3">C1</f>
        <v>2023</v>
      </c>
      <c r="C27" s="490" t="str">
        <f t="shared" si="3"/>
        <v>2024(p)</v>
      </c>
      <c r="D27" s="490" t="str">
        <f t="shared" si="3"/>
        <v>2025(p)</v>
      </c>
      <c r="E27" s="490" t="str">
        <f t="shared" si="3"/>
        <v>2026(p)</v>
      </c>
      <c r="F27" s="490" t="str">
        <f t="shared" si="3"/>
        <v>2027(p)</v>
      </c>
      <c r="G27" s="490" t="str">
        <f t="shared" si="3"/>
        <v>2028(p)</v>
      </c>
    </row>
    <row r="28" spans="1:10" x14ac:dyDescent="0.2">
      <c r="A28" s="68" t="s">
        <v>73</v>
      </c>
      <c r="B28" s="85">
        <f>(B4/B$4)*B17*100</f>
        <v>4.9445349831012342</v>
      </c>
      <c r="C28" s="85">
        <f t="shared" ref="B28:G34" si="4">(C4/C$4)*C17*100</f>
        <v>5.2617182435414689</v>
      </c>
      <c r="D28" s="85">
        <f t="shared" si="4"/>
        <v>3.596495261476651</v>
      </c>
      <c r="E28" s="85">
        <f t="shared" si="4"/>
        <v>3.1627284472651285</v>
      </c>
      <c r="F28" s="85">
        <f t="shared" si="4"/>
        <v>3.4434828964822639</v>
      </c>
      <c r="G28" s="85">
        <f t="shared" si="4"/>
        <v>3.0492512522646509</v>
      </c>
      <c r="H28" s="122"/>
    </row>
    <row r="29" spans="1:10" x14ac:dyDescent="0.2">
      <c r="A29" s="70" t="s">
        <v>74</v>
      </c>
      <c r="B29" s="84">
        <f>(B5/B$4)*B18*100</f>
        <v>3.190747538474028</v>
      </c>
      <c r="C29" s="84">
        <f t="shared" si="4"/>
        <v>1.2660244118173212</v>
      </c>
      <c r="D29" s="84">
        <f t="shared" si="4"/>
        <v>0.89942953030900485</v>
      </c>
      <c r="E29" s="84">
        <f t="shared" si="4"/>
        <v>0.87235015200236943</v>
      </c>
      <c r="F29" s="84">
        <f t="shared" si="4"/>
        <v>0.85073747874057204</v>
      </c>
      <c r="G29" s="84">
        <f>(G5/G$4)*G18*100</f>
        <v>0.82491075986918583</v>
      </c>
      <c r="H29" s="122"/>
    </row>
    <row r="30" spans="1:10" x14ac:dyDescent="0.2">
      <c r="A30" s="70" t="s">
        <v>75</v>
      </c>
      <c r="B30" s="84">
        <f t="shared" si="4"/>
        <v>1.4448258758342056</v>
      </c>
      <c r="C30" s="84">
        <f t="shared" si="4"/>
        <v>-0.27602860496118004</v>
      </c>
      <c r="D30" s="84">
        <f t="shared" si="4"/>
        <v>0.16810769993712421</v>
      </c>
      <c r="E30" s="84">
        <f t="shared" si="4"/>
        <v>-8.9692502841849056E-2</v>
      </c>
      <c r="F30" s="84">
        <f t="shared" si="4"/>
        <v>-0.18072324073844839</v>
      </c>
      <c r="G30" s="84">
        <f t="shared" si="4"/>
        <v>-0.66193958916477391</v>
      </c>
      <c r="H30" s="122"/>
    </row>
    <row r="31" spans="1:10" x14ac:dyDescent="0.2">
      <c r="A31" s="70" t="s">
        <v>76</v>
      </c>
      <c r="B31" s="84" t="e">
        <f t="shared" si="4"/>
        <v>#DIV/0!</v>
      </c>
      <c r="C31" s="84" t="e">
        <f t="shared" si="4"/>
        <v>#DIV/0!</v>
      </c>
      <c r="D31" s="84" t="e">
        <f t="shared" si="4"/>
        <v>#DIV/0!</v>
      </c>
      <c r="E31" s="84" t="e">
        <f t="shared" si="4"/>
        <v>#DIV/0!</v>
      </c>
      <c r="F31" s="84" t="e">
        <f t="shared" si="4"/>
        <v>#DIV/0!</v>
      </c>
      <c r="G31" s="84" t="e">
        <f t="shared" si="4"/>
        <v>#DIV/0!</v>
      </c>
      <c r="H31" s="122"/>
    </row>
    <row r="32" spans="1:10" x14ac:dyDescent="0.2">
      <c r="A32" s="70" t="s">
        <v>77</v>
      </c>
      <c r="B32" s="84" t="e">
        <f t="shared" si="4"/>
        <v>#DIV/0!</v>
      </c>
      <c r="C32" s="84" t="e">
        <f t="shared" si="4"/>
        <v>#DIV/0!</v>
      </c>
      <c r="D32" s="84" t="e">
        <f t="shared" si="4"/>
        <v>#DIV/0!</v>
      </c>
      <c r="E32" s="84" t="e">
        <f t="shared" si="4"/>
        <v>#DIV/0!</v>
      </c>
      <c r="F32" s="84" t="e">
        <f t="shared" si="4"/>
        <v>#DIV/0!</v>
      </c>
      <c r="G32" s="84" t="e">
        <f t="shared" si="4"/>
        <v>#DIV/0!</v>
      </c>
      <c r="H32" s="122"/>
    </row>
    <row r="33" spans="1:8" x14ac:dyDescent="0.2">
      <c r="A33" s="70" t="str">
        <f>A22</f>
        <v>Dont cotisations prises en charge par l'Etat</v>
      </c>
      <c r="B33" s="84">
        <f t="shared" si="4"/>
        <v>-0.40050694501030321</v>
      </c>
      <c r="C33" s="84">
        <f t="shared" si="4"/>
        <v>0.25366868992499286</v>
      </c>
      <c r="D33" s="84">
        <f t="shared" si="4"/>
        <v>0.12815235540216996</v>
      </c>
      <c r="E33" s="84">
        <f t="shared" si="4"/>
        <v>8.6007573974893253E-2</v>
      </c>
      <c r="F33" s="84">
        <f t="shared" si="4"/>
        <v>0.11686055097010217</v>
      </c>
      <c r="G33" s="84">
        <f>(G9/G$4)*G22*100</f>
        <v>0.14722226457218937</v>
      </c>
      <c r="H33" s="122"/>
    </row>
    <row r="34" spans="1:8" x14ac:dyDescent="0.2">
      <c r="A34" s="70" t="str">
        <f>A23</f>
        <v>Dont reprises sur provisions</v>
      </c>
      <c r="B34" s="84">
        <f t="shared" si="4"/>
        <v>-0.49829988098943651</v>
      </c>
      <c r="C34" s="84">
        <f t="shared" si="4"/>
        <v>0.45088041982716531</v>
      </c>
      <c r="D34" s="84">
        <f t="shared" si="4"/>
        <v>0.10142536470832188</v>
      </c>
      <c r="E34" s="84">
        <f t="shared" si="4"/>
        <v>9.0937040422255339E-2</v>
      </c>
      <c r="F34" s="84">
        <f t="shared" si="4"/>
        <v>5.7035175347050805E-2</v>
      </c>
      <c r="G34" s="84">
        <f t="shared" si="4"/>
        <v>6.3550118696512281E-2</v>
      </c>
      <c r="H34" s="122"/>
    </row>
  </sheetData>
  <pageMargins left="0.78740157499999996" right="0.78740157499999996" top="0.984251969" bottom="0.984251969" header="0.4921259845" footer="0.4921259845"/>
  <pageSetup paperSize="9" orientation="portrait" horizontalDpi="4294967295" verticalDpi="4294967295"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Q82"/>
  <sheetViews>
    <sheetView zoomScaleNormal="100" workbookViewId="0">
      <pane xSplit="1" ySplit="2" topLeftCell="G3" activePane="bottomRight" state="frozen"/>
      <selection pane="topRight" activeCell="B1" sqref="B1"/>
      <selection pane="bottomLeft" activeCell="A3" sqref="A3"/>
      <selection pane="bottomRight" sqref="A1:A2"/>
    </sheetView>
  </sheetViews>
  <sheetFormatPr baseColWidth="10" defaultColWidth="7.28515625" defaultRowHeight="12.75" x14ac:dyDescent="0.2"/>
  <cols>
    <col min="1" max="1" width="25.28515625" customWidth="1"/>
    <col min="2" max="3" width="11.5703125" bestFit="1" customWidth="1"/>
    <col min="4" max="4" width="10.42578125" bestFit="1" customWidth="1"/>
    <col min="5" max="5" width="9.42578125" style="104" customWidth="1"/>
    <col min="6" max="6" width="8.140625" style="104" customWidth="1"/>
    <col min="7" max="7" width="8.7109375" style="104" customWidth="1"/>
    <col min="8" max="8" width="27" style="104" bestFit="1" customWidth="1"/>
    <col min="9" max="9" width="8.42578125" style="104" bestFit="1" customWidth="1"/>
    <col min="10" max="10" width="6.28515625" bestFit="1" customWidth="1"/>
    <col min="11" max="11" width="7.85546875" bestFit="1" customWidth="1"/>
    <col min="12" max="12" width="6.85546875" customWidth="1"/>
    <col min="13" max="13" width="6.85546875" style="9" bestFit="1" customWidth="1"/>
    <col min="14" max="15" width="5.85546875" style="9" bestFit="1" customWidth="1"/>
    <col min="16" max="16" width="12.42578125" bestFit="1" customWidth="1"/>
    <col min="17" max="17" width="11" bestFit="1" customWidth="1"/>
  </cols>
  <sheetData>
    <row r="1" spans="1:17" x14ac:dyDescent="0.2">
      <c r="A1" s="606" t="s">
        <v>27</v>
      </c>
      <c r="B1" s="608"/>
      <c r="C1" s="609"/>
      <c r="D1" s="443"/>
      <c r="E1" s="608" t="s">
        <v>1</v>
      </c>
      <c r="F1" s="608"/>
      <c r="G1" s="608"/>
      <c r="H1" s="608"/>
      <c r="I1" s="610"/>
      <c r="J1" s="611" t="s">
        <v>0</v>
      </c>
      <c r="K1" s="611"/>
      <c r="L1" s="611"/>
      <c r="M1" s="611"/>
      <c r="N1" s="611"/>
      <c r="O1" s="611"/>
      <c r="P1" s="454" t="s">
        <v>264</v>
      </c>
    </row>
    <row r="2" spans="1:17" x14ac:dyDescent="0.2">
      <c r="A2" s="607"/>
      <c r="B2" s="444">
        <v>2021</v>
      </c>
      <c r="C2" s="444">
        <f t="shared" ref="C2:I2" si="0">B2+1</f>
        <v>2022</v>
      </c>
      <c r="D2" s="444">
        <f t="shared" si="0"/>
        <v>2023</v>
      </c>
      <c r="E2" s="444">
        <f t="shared" si="0"/>
        <v>2024</v>
      </c>
      <c r="F2" s="444">
        <f t="shared" si="0"/>
        <v>2025</v>
      </c>
      <c r="G2" s="444">
        <f t="shared" si="0"/>
        <v>2026</v>
      </c>
      <c r="H2" s="444">
        <f t="shared" si="0"/>
        <v>2027</v>
      </c>
      <c r="I2" s="444">
        <f t="shared" si="0"/>
        <v>2028</v>
      </c>
      <c r="J2" s="445">
        <f t="shared" ref="J2:O2" si="1">D2</f>
        <v>2023</v>
      </c>
      <c r="K2" s="445">
        <f t="shared" si="1"/>
        <v>2024</v>
      </c>
      <c r="L2" s="445">
        <f t="shared" si="1"/>
        <v>2025</v>
      </c>
      <c r="M2" s="445">
        <f t="shared" si="1"/>
        <v>2026</v>
      </c>
      <c r="N2" s="445">
        <f t="shared" si="1"/>
        <v>2027</v>
      </c>
      <c r="O2" s="445">
        <f t="shared" si="1"/>
        <v>2028</v>
      </c>
      <c r="P2" s="446"/>
    </row>
    <row r="3" spans="1:17" x14ac:dyDescent="0.2">
      <c r="A3" s="57" t="s">
        <v>156</v>
      </c>
      <c r="B3" s="74"/>
      <c r="C3" s="287">
        <f>'RESULTAT NET'!B3</f>
        <v>13548.121648940003</v>
      </c>
      <c r="D3" s="287">
        <f>'RESULTAT NET'!C3</f>
        <v>13957.312436729999</v>
      </c>
      <c r="E3" s="287">
        <f>'RESULTAT NET'!D3</f>
        <v>14575.278858372072</v>
      </c>
      <c r="F3" s="287">
        <f>'RESULTAT NET'!E3</f>
        <v>15085.096964756029</v>
      </c>
      <c r="G3" s="287">
        <f>'RESULTAT NET'!F3</f>
        <v>15605.08635913107</v>
      </c>
      <c r="H3" s="287">
        <f>'RESULTAT NET'!G3</f>
        <v>16143.391281596509</v>
      </c>
      <c r="I3" s="287">
        <f>'RESULTAT NET'!H3</f>
        <v>16670.675593610256</v>
      </c>
      <c r="J3" s="130">
        <f t="shared" ref="J3:O4" si="2">D3/C3-1</f>
        <v>3.0202768944137093E-2</v>
      </c>
      <c r="K3" s="130">
        <f t="shared" si="2"/>
        <v>4.427545950865408E-2</v>
      </c>
      <c r="L3" s="130">
        <f t="shared" si="2"/>
        <v>3.4978274607152082E-2</v>
      </c>
      <c r="M3" s="130">
        <f t="shared" si="2"/>
        <v>3.4470404505182461E-2</v>
      </c>
      <c r="N3" s="130">
        <f t="shared" si="2"/>
        <v>3.4495478594417373E-2</v>
      </c>
      <c r="O3" s="130">
        <f t="shared" si="2"/>
        <v>3.2662549201471158E-2</v>
      </c>
      <c r="P3" s="451">
        <f>D4/D49</f>
        <v>0.88255041366108822</v>
      </c>
    </row>
    <row r="4" spans="1:17" x14ac:dyDescent="0.2">
      <c r="A4" s="447" t="s">
        <v>80</v>
      </c>
      <c r="B4" s="448">
        <f>SUM(B6:B9)</f>
        <v>12290.955206890001</v>
      </c>
      <c r="C4" s="448">
        <f t="shared" ref="C4:I4" si="3">SUM(C6:C10)</f>
        <v>13548.121648940003</v>
      </c>
      <c r="D4" s="448">
        <f t="shared" si="3"/>
        <v>13957.312436729999</v>
      </c>
      <c r="E4" s="449">
        <f t="shared" si="3"/>
        <v>14575.278858372072</v>
      </c>
      <c r="F4" s="449">
        <f t="shared" si="3"/>
        <v>15085.096964756029</v>
      </c>
      <c r="G4" s="449">
        <f t="shared" si="3"/>
        <v>15605.08635913107</v>
      </c>
      <c r="H4" s="449">
        <f t="shared" si="3"/>
        <v>16143.391281596509</v>
      </c>
      <c r="I4" s="449">
        <f t="shared" si="3"/>
        <v>16670.675593610256</v>
      </c>
      <c r="J4" s="450">
        <f>D4/C4-1</f>
        <v>3.0202768944137093E-2</v>
      </c>
      <c r="K4" s="450">
        <f t="shared" si="2"/>
        <v>4.427545950865408E-2</v>
      </c>
      <c r="L4" s="450">
        <f t="shared" si="2"/>
        <v>3.4978274607152082E-2</v>
      </c>
      <c r="M4" s="450">
        <f t="shared" si="2"/>
        <v>3.4470404505182461E-2</v>
      </c>
      <c r="N4" s="450">
        <f t="shared" si="2"/>
        <v>3.4495478594417373E-2</v>
      </c>
      <c r="O4" s="450">
        <f t="shared" si="2"/>
        <v>3.2662549201471158E-2</v>
      </c>
      <c r="P4" s="455">
        <f>((I4/E4)^(1/4)-1)</f>
        <v>3.4151299331799834E-2</v>
      </c>
    </row>
    <row r="5" spans="1:17" x14ac:dyDescent="0.2">
      <c r="A5" s="75" t="s">
        <v>81</v>
      </c>
      <c r="B5" s="76"/>
      <c r="C5" s="76"/>
      <c r="D5" s="76"/>
      <c r="E5" s="100"/>
      <c r="F5" s="100"/>
      <c r="G5" s="100"/>
      <c r="H5" s="100"/>
      <c r="I5" s="100"/>
      <c r="J5" s="77"/>
      <c r="K5" s="77"/>
      <c r="L5" s="77"/>
      <c r="M5" s="77"/>
      <c r="N5" s="77"/>
      <c r="O5" s="77"/>
      <c r="P5" s="456"/>
    </row>
    <row r="6" spans="1:17" x14ac:dyDescent="0.2">
      <c r="A6" s="57" t="s">
        <v>82</v>
      </c>
      <c r="B6" s="284">
        <f>[4]Maladie!$G$10</f>
        <v>4816.3181431499997</v>
      </c>
      <c r="C6" s="284">
        <f>[4]Maladie!$H$10</f>
        <v>5028.3106068300012</v>
      </c>
      <c r="D6" s="284">
        <f>[4]Maladie!$I$10</f>
        <v>5134.0496223500004</v>
      </c>
      <c r="E6" s="284">
        <f>[4]Maladie!$R$10</f>
        <v>5282.382805615749</v>
      </c>
      <c r="F6" s="284">
        <f>[4]Maladie!$W$10</f>
        <v>5485.0617576118721</v>
      </c>
      <c r="G6" s="284">
        <f>[4]Maladie!$AB$10</f>
        <v>5723.7296104512388</v>
      </c>
      <c r="H6" s="284">
        <f>[4]Maladie!$AG$10</f>
        <v>5955.5971423190103</v>
      </c>
      <c r="I6" s="284">
        <f>[4]Maladie!$AL$10</f>
        <v>6196.0238931601398</v>
      </c>
      <c r="J6" s="78">
        <f t="shared" ref="J6:K10" si="4">D6/C6-1</f>
        <v>2.1028735849446756E-2</v>
      </c>
      <c r="K6" s="78">
        <f t="shared" si="4"/>
        <v>2.8892043158291969E-2</v>
      </c>
      <c r="L6" s="78">
        <f t="shared" ref="L6:O10" si="5">F6/E6-1</f>
        <v>3.8368849713173558E-2</v>
      </c>
      <c r="M6" s="78">
        <f t="shared" si="5"/>
        <v>4.3512336485210357E-2</v>
      </c>
      <c r="N6" s="78">
        <f t="shared" si="5"/>
        <v>4.0509868153868256E-2</v>
      </c>
      <c r="O6" s="78">
        <f t="shared" si="5"/>
        <v>4.0369881490592396E-2</v>
      </c>
      <c r="P6" s="455">
        <f>((I6/E6)^(1/4)-1)</f>
        <v>4.068861461267459E-2</v>
      </c>
    </row>
    <row r="7" spans="1:17" x14ac:dyDescent="0.2">
      <c r="A7" s="57" t="s">
        <v>83</v>
      </c>
      <c r="B7" s="284">
        <f>[4]AT!$G$10</f>
        <v>572.89877344000001</v>
      </c>
      <c r="C7" s="284">
        <f>[4]AT!$H$10</f>
        <v>593.00804479999999</v>
      </c>
      <c r="D7" s="284">
        <f>[4]AT!$I$10</f>
        <v>617.05188923999992</v>
      </c>
      <c r="E7" s="284">
        <f>[4]AT!$R$10</f>
        <v>632.70331849916408</v>
      </c>
      <c r="F7" s="284">
        <f>[4]AT!$W$10</f>
        <v>646.9779869753595</v>
      </c>
      <c r="G7" s="284">
        <f>[4]AT!$AB$10</f>
        <v>662.20608273284859</v>
      </c>
      <c r="H7" s="284">
        <f>[4]AT!$AG$10</f>
        <v>677.358092306191</v>
      </c>
      <c r="I7" s="284">
        <f>[4]AT!$AL$10</f>
        <v>692.41421270427816</v>
      </c>
      <c r="J7" s="78">
        <f t="shared" si="4"/>
        <v>4.0545561988301504E-2</v>
      </c>
      <c r="K7" s="78">
        <f t="shared" si="4"/>
        <v>2.5364851047521286E-2</v>
      </c>
      <c r="L7" s="78">
        <f t="shared" si="5"/>
        <v>2.2561393403240482E-2</v>
      </c>
      <c r="M7" s="78">
        <f t="shared" si="5"/>
        <v>2.3537270299845758E-2</v>
      </c>
      <c r="N7" s="78">
        <f t="shared" si="5"/>
        <v>2.2881109020943757E-2</v>
      </c>
      <c r="O7" s="78">
        <f t="shared" si="5"/>
        <v>2.222771170685478E-2</v>
      </c>
      <c r="P7" s="455">
        <f>((I7/E7)^(1/4)-1)</f>
        <v>2.2801756905228565E-2</v>
      </c>
    </row>
    <row r="8" spans="1:17" x14ac:dyDescent="0.2">
      <c r="A8" s="57" t="s">
        <v>84</v>
      </c>
      <c r="B8" s="284">
        <f>[4]Famille!$G$10</f>
        <v>688.32126192999999</v>
      </c>
      <c r="C8" s="284">
        <f>[4]Famille!$H$10</f>
        <v>771.56760064000002</v>
      </c>
      <c r="D8" s="284">
        <f>[4]Famille!$I$10</f>
        <v>715.24798183999997</v>
      </c>
      <c r="E8" s="285">
        <f>[4]Famille!$R$10</f>
        <v>666.16838953923593</v>
      </c>
      <c r="F8" s="284">
        <f>[4]Famille!$W$10</f>
        <v>675.61373864135373</v>
      </c>
      <c r="G8" s="284">
        <f>[4]Famille!$AB$10</f>
        <v>682.19926244849091</v>
      </c>
      <c r="H8" s="284">
        <f>[4]Famille!$AG$10</f>
        <v>681.08437985141779</v>
      </c>
      <c r="I8" s="284">
        <f>[4]Famille!$AL$10</f>
        <v>681.36097729963888</v>
      </c>
      <c r="J8" s="78">
        <f t="shared" si="4"/>
        <v>-7.2993758101408179E-2</v>
      </c>
      <c r="K8" s="78">
        <f t="shared" si="4"/>
        <v>-6.8618987465724923E-2</v>
      </c>
      <c r="L8" s="78">
        <f t="shared" si="5"/>
        <v>1.4178620976973644E-2</v>
      </c>
      <c r="M8" s="78">
        <f t="shared" si="5"/>
        <v>9.7474687539369498E-3</v>
      </c>
      <c r="N8" s="78">
        <f t="shared" si="5"/>
        <v>-1.6342477314790216E-3</v>
      </c>
      <c r="O8" s="78">
        <f t="shared" si="5"/>
        <v>4.0611333397699845E-4</v>
      </c>
      <c r="P8" s="455">
        <f>((I8/E8)^(1/4)-1)</f>
        <v>5.6533601265456035E-3</v>
      </c>
    </row>
    <row r="9" spans="1:17" x14ac:dyDescent="0.2">
      <c r="A9" s="57" t="s">
        <v>85</v>
      </c>
      <c r="B9" s="284">
        <f>[4]Vieillesse!$G$10</f>
        <v>6213.4170283700005</v>
      </c>
      <c r="C9" s="284">
        <f>[4]Vieillesse!$H$10</f>
        <v>6499.3807921200005</v>
      </c>
      <c r="D9" s="284">
        <f>[4]Vieillesse!$I$10</f>
        <v>6815.5706679599989</v>
      </c>
      <c r="E9" s="284">
        <f>[4]Vieillesse!$R$10</f>
        <v>7284.2646268801645</v>
      </c>
      <c r="F9" s="284">
        <f>[4]Vieillesse!$W$10</f>
        <v>7551.4400078241024</v>
      </c>
      <c r="G9" s="284">
        <f>[4]Vieillesse!$AB$10</f>
        <v>7794.5590624373581</v>
      </c>
      <c r="H9" s="284">
        <f>[4]Vieillesse!$AG$10</f>
        <v>8068.0502787270725</v>
      </c>
      <c r="I9" s="284">
        <f>[4]Vieillesse!$AL$10</f>
        <v>8318.1767148734343</v>
      </c>
      <c r="J9" s="78">
        <f t="shared" si="4"/>
        <v>4.8649230742620064E-2</v>
      </c>
      <c r="K9" s="78">
        <f t="shared" si="4"/>
        <v>6.8768116677814906E-2</v>
      </c>
      <c r="L9" s="78">
        <f t="shared" si="5"/>
        <v>3.6678428726767409E-2</v>
      </c>
      <c r="M9" s="78">
        <f t="shared" si="5"/>
        <v>3.2195058738645699E-2</v>
      </c>
      <c r="N9" s="78">
        <f t="shared" si="5"/>
        <v>3.5087451913436984E-2</v>
      </c>
      <c r="O9" s="78">
        <f t="shared" si="5"/>
        <v>3.1002091893981731E-2</v>
      </c>
      <c r="P9" s="455">
        <f>((I9/E9)^(1/4)-1)</f>
        <v>3.3738299426570029E-2</v>
      </c>
    </row>
    <row r="10" spans="1:17" x14ac:dyDescent="0.2">
      <c r="A10" s="57" t="s">
        <v>276</v>
      </c>
      <c r="B10" s="284">
        <f>[4]SASPA!$G$10</f>
        <v>646.33154295999998</v>
      </c>
      <c r="C10" s="284">
        <f>[4]SASPA!$H$10</f>
        <v>655.85460454999998</v>
      </c>
      <c r="D10" s="284">
        <f>[4]SASPA!$I$10</f>
        <v>675.39227533999997</v>
      </c>
      <c r="E10" s="284">
        <f>[4]SASPA!$R$10</f>
        <v>709.75971783775765</v>
      </c>
      <c r="F10" s="284">
        <f>[4]SASPA!$W$10</f>
        <v>726.00347370333941</v>
      </c>
      <c r="G10" s="284">
        <f>[4]SASPA!$AB$10</f>
        <v>742.39234106113383</v>
      </c>
      <c r="H10" s="284">
        <f>[4]SASPA!$AG$10</f>
        <v>761.30138839281744</v>
      </c>
      <c r="I10" s="284">
        <f>[4]SASPA!$AL$10</f>
        <v>782.69979557276633</v>
      </c>
      <c r="J10" s="78">
        <f t="shared" si="4"/>
        <v>2.9789637298354155E-2</v>
      </c>
      <c r="K10" s="78">
        <f>E10/D10-1</f>
        <v>5.0885157785461432E-2</v>
      </c>
      <c r="L10" s="78">
        <f t="shared" si="5"/>
        <v>2.2886274688943331E-2</v>
      </c>
      <c r="M10" s="78">
        <f t="shared" si="5"/>
        <v>2.257408945193462E-2</v>
      </c>
      <c r="N10" s="78">
        <f t="shared" si="5"/>
        <v>2.5470423502290007E-2</v>
      </c>
      <c r="O10" s="78">
        <f t="shared" si="5"/>
        <v>2.8107668666049745E-2</v>
      </c>
      <c r="P10" s="451">
        <f>D11/$D$49</f>
        <v>2.1154534301413661E-2</v>
      </c>
      <c r="Q10" s="222"/>
    </row>
    <row r="11" spans="1:17" x14ac:dyDescent="0.2">
      <c r="A11" s="447" t="s">
        <v>281</v>
      </c>
      <c r="B11" s="452">
        <f t="shared" ref="B11:I11" si="6">SUM(B12:B16)</f>
        <v>592.9086423</v>
      </c>
      <c r="C11" s="452">
        <f t="shared" si="6"/>
        <v>431.83460754999999</v>
      </c>
      <c r="D11" s="452">
        <f t="shared" si="6"/>
        <v>334.55363017000002</v>
      </c>
      <c r="E11" s="453">
        <f t="shared" si="6"/>
        <v>317.44137990181849</v>
      </c>
      <c r="F11" s="453">
        <f t="shared" si="6"/>
        <v>324.81122346958375</v>
      </c>
      <c r="G11" s="453">
        <f t="shared" si="6"/>
        <v>340.17055245346069</v>
      </c>
      <c r="H11" s="453">
        <f t="shared" si="6"/>
        <v>363.34414995977511</v>
      </c>
      <c r="I11" s="453">
        <f t="shared" si="6"/>
        <v>385.33341385285661</v>
      </c>
      <c r="J11" s="450">
        <f t="shared" ref="J11:J22" si="7">D11/C11-1</f>
        <v>-0.22527369432459465</v>
      </c>
      <c r="K11" s="450">
        <f t="shared" ref="K11:O15" si="8">E11/D11-1</f>
        <v>-5.1149498092386891E-2</v>
      </c>
      <c r="L11" s="450">
        <f t="shared" si="8"/>
        <v>2.3216392173083022E-2</v>
      </c>
      <c r="M11" s="450">
        <f t="shared" si="8"/>
        <v>4.728694045670867E-2</v>
      </c>
      <c r="N11" s="450">
        <f t="shared" si="8"/>
        <v>6.8123467299494811E-2</v>
      </c>
      <c r="O11" s="450">
        <f t="shared" si="8"/>
        <v>6.051910811145822E-2</v>
      </c>
      <c r="P11" s="455">
        <f>((I11/E11)^(1/4)-1)</f>
        <v>4.9647034059649764E-2</v>
      </c>
    </row>
    <row r="12" spans="1:17" x14ac:dyDescent="0.2">
      <c r="A12" s="57" t="s">
        <v>82</v>
      </c>
      <c r="B12" s="284">
        <f>[4]Maladie!$G$71</f>
        <v>311.22717200999995</v>
      </c>
      <c r="C12" s="284">
        <f>[4]Maladie!$H$71</f>
        <v>315.41880156000002</v>
      </c>
      <c r="D12" s="284">
        <f>[4]Maladie!$I$71</f>
        <v>227.24444053000002</v>
      </c>
      <c r="E12" s="284">
        <f>[4]Maladie!$R$71</f>
        <v>236.1022582148245</v>
      </c>
      <c r="F12" s="284">
        <f>[4]Maladie!$W$71</f>
        <v>238.31087309584379</v>
      </c>
      <c r="G12" s="284">
        <f>[4]Maladie!$AB$71</f>
        <v>245.2250765178311</v>
      </c>
      <c r="H12" s="284">
        <f>[4]Maladie!$AG$71</f>
        <v>252.30359216735644</v>
      </c>
      <c r="I12" s="284">
        <f>[4]Maladie!$AL$71</f>
        <v>259.55424636415569</v>
      </c>
      <c r="J12" s="78">
        <f t="shared" si="7"/>
        <v>-0.27954694074641961</v>
      </c>
      <c r="K12" s="78">
        <f t="shared" si="8"/>
        <v>3.8979249235604918E-2</v>
      </c>
      <c r="L12" s="78">
        <f t="shared" si="8"/>
        <v>9.3544843565609437E-3</v>
      </c>
      <c r="M12" s="78">
        <f t="shared" si="8"/>
        <v>2.9013377913338356E-2</v>
      </c>
      <c r="N12" s="78">
        <f t="shared" si="8"/>
        <v>2.886538257032889E-2</v>
      </c>
      <c r="O12" s="78">
        <f t="shared" si="8"/>
        <v>2.8737815956222157E-2</v>
      </c>
      <c r="P12" s="456"/>
    </row>
    <row r="13" spans="1:17" x14ac:dyDescent="0.2">
      <c r="A13" s="57" t="s">
        <v>83</v>
      </c>
      <c r="B13" s="284">
        <f>[4]AT!$G$37</f>
        <v>7.2619859500000006</v>
      </c>
      <c r="C13" s="284">
        <f>[4]AT!$H$37</f>
        <v>7.8779610400000006</v>
      </c>
      <c r="D13" s="284">
        <f>[4]AT!$I$37</f>
        <v>9.2331422300000003</v>
      </c>
      <c r="E13" s="284">
        <f>[4]AT!$R$37</f>
        <v>8.5409658319312225</v>
      </c>
      <c r="F13" s="284">
        <f>[4]AT!$W$37</f>
        <v>9.2363977400000028</v>
      </c>
      <c r="G13" s="284">
        <f>[4]AT!$AB$37</f>
        <v>9.8346493557936672</v>
      </c>
      <c r="H13" s="284">
        <f>[4]AT!$AG$37</f>
        <v>10.48149111772489</v>
      </c>
      <c r="I13" s="284">
        <f>[4]AT!$AL$37</f>
        <v>11.12833287965611</v>
      </c>
      <c r="J13" s="78">
        <f t="shared" si="7"/>
        <v>0.17202181923966453</v>
      </c>
      <c r="K13" s="78">
        <f t="shared" si="8"/>
        <v>-7.4966504449566762E-2</v>
      </c>
      <c r="L13" s="78">
        <f t="shared" si="8"/>
        <v>8.1423099184970482E-2</v>
      </c>
      <c r="M13" s="78">
        <f t="shared" si="8"/>
        <v>6.4771097199812111E-2</v>
      </c>
      <c r="N13" s="78">
        <f t="shared" si="8"/>
        <v>6.5771715750105875E-2</v>
      </c>
      <c r="O13" s="78">
        <f t="shared" si="8"/>
        <v>6.1712761539946204E-2</v>
      </c>
      <c r="P13" s="456"/>
    </row>
    <row r="14" spans="1:17" x14ac:dyDescent="0.2">
      <c r="A14" s="57" t="s">
        <v>84</v>
      </c>
      <c r="B14" s="284">
        <f>[4]Famille!$G$52</f>
        <v>0.624</v>
      </c>
      <c r="C14" s="284">
        <f>[4]Famille!$H$52</f>
        <v>0.61799999999999999</v>
      </c>
      <c r="D14" s="284">
        <f>[4]Famille!$I$52</f>
        <v>0.64</v>
      </c>
      <c r="E14" s="284">
        <f>[4]Famille!$R$52</f>
        <v>49.557413238903528</v>
      </c>
      <c r="F14" s="284">
        <f>[4]Famille!$W$52</f>
        <v>54.053304899138872</v>
      </c>
      <c r="G14" s="284">
        <f>[4]Famille!$AB$52</f>
        <v>60.666662924991712</v>
      </c>
      <c r="H14" s="284">
        <f>[4]Famille!$AG$52</f>
        <v>75.808058198073695</v>
      </c>
      <c r="I14" s="284">
        <f>[4]Famille!$AL$52</f>
        <v>89.855400064880328</v>
      </c>
      <c r="J14" s="78">
        <f t="shared" si="7"/>
        <v>3.5598705501618255E-2</v>
      </c>
      <c r="K14" s="78">
        <f t="shared" si="8"/>
        <v>76.433458185786762</v>
      </c>
      <c r="L14" s="78">
        <f t="shared" si="8"/>
        <v>9.0720870327952952E-2</v>
      </c>
      <c r="M14" s="78">
        <f t="shared" si="8"/>
        <v>0.12234881915533347</v>
      </c>
      <c r="N14" s="78">
        <f t="shared" si="8"/>
        <v>0.24958345396058479</v>
      </c>
      <c r="O14" s="78">
        <f t="shared" si="8"/>
        <v>0.18530143365634411</v>
      </c>
      <c r="P14" s="456"/>
    </row>
    <row r="15" spans="1:17" x14ac:dyDescent="0.2">
      <c r="A15" s="57" t="s">
        <v>85</v>
      </c>
      <c r="B15" s="284">
        <f>[4]Vieillesse!$G$53</f>
        <v>273.79548434000003</v>
      </c>
      <c r="C15" s="284">
        <f>[4]Vieillesse!$H$53</f>
        <v>107.91984495</v>
      </c>
      <c r="D15" s="284">
        <f>[4]Vieillesse!$I$53</f>
        <v>97.43604741</v>
      </c>
      <c r="E15" s="284">
        <f>[4]Vieillesse!$R$53</f>
        <v>0</v>
      </c>
      <c r="F15" s="284">
        <f>[4]Vieillesse!$W$53</f>
        <v>0</v>
      </c>
      <c r="G15" s="284">
        <f>[4]Vieillesse!$AB$53</f>
        <v>0</v>
      </c>
      <c r="H15" s="284">
        <f>[4]Vieillesse!$AG$53</f>
        <v>0</v>
      </c>
      <c r="I15" s="284">
        <f>[4]Vieillesse!$AL$53</f>
        <v>0</v>
      </c>
      <c r="J15" s="78">
        <f t="shared" si="7"/>
        <v>-9.714429764847432E-2</v>
      </c>
      <c r="K15" s="78">
        <f>E15/D15-1</f>
        <v>-1</v>
      </c>
      <c r="L15" s="78" t="e">
        <f t="shared" si="8"/>
        <v>#DIV/0!</v>
      </c>
      <c r="M15" s="78" t="e">
        <f t="shared" si="8"/>
        <v>#DIV/0!</v>
      </c>
      <c r="N15" s="78" t="e">
        <f t="shared" si="8"/>
        <v>#DIV/0!</v>
      </c>
      <c r="O15" s="78" t="e">
        <f t="shared" si="8"/>
        <v>#DIV/0!</v>
      </c>
      <c r="P15" s="456"/>
    </row>
    <row r="16" spans="1:17" x14ac:dyDescent="0.2">
      <c r="A16" s="57" t="s">
        <v>259</v>
      </c>
      <c r="B16" s="284">
        <f>[4]SASPA!$G$53</f>
        <v>0</v>
      </c>
      <c r="C16" s="284">
        <f>[4]SASPA!$H$53</f>
        <v>0</v>
      </c>
      <c r="D16" s="284">
        <f>[4]SASPA!$I$53</f>
        <v>0</v>
      </c>
      <c r="E16" s="284">
        <f>[4]SASPA!$R$53</f>
        <v>23.240742616159245</v>
      </c>
      <c r="F16" s="284">
        <f>[4]SASPA!$W$53</f>
        <v>23.210647734601078</v>
      </c>
      <c r="G16" s="284">
        <f>[4]SASPA!$AB$53</f>
        <v>24.444163654844196</v>
      </c>
      <c r="H16" s="284">
        <f>[4]SASPA!$AG$53</f>
        <v>24.751008476620079</v>
      </c>
      <c r="I16" s="284">
        <f>[4]SASPA!$AL$53</f>
        <v>24.795434544164468</v>
      </c>
      <c r="J16" s="78" t="e">
        <f t="shared" si="7"/>
        <v>#DIV/0!</v>
      </c>
      <c r="K16" s="228" t="e">
        <f>E16/D16-1</f>
        <v>#DIV/0!</v>
      </c>
      <c r="L16" s="78">
        <f>F16/E16-1</f>
        <v>-1.2949191019929751E-3</v>
      </c>
      <c r="M16" s="78">
        <f>G16/F16-1</f>
        <v>5.3144398827106532E-2</v>
      </c>
      <c r="N16" s="78">
        <f>H16/G16-1</f>
        <v>1.2552886902108096E-2</v>
      </c>
      <c r="O16" s="78">
        <f>I16/H16-1</f>
        <v>1.7949194913149391E-3</v>
      </c>
      <c r="P16" s="456"/>
    </row>
    <row r="17" spans="1:16" x14ac:dyDescent="0.2">
      <c r="A17" s="447" t="s">
        <v>86</v>
      </c>
      <c r="B17" s="452">
        <f>SUM(B18:B21)</f>
        <v>35.739281140000003</v>
      </c>
      <c r="C17" s="452">
        <f>SUM(C18:C21)</f>
        <v>35.39294658</v>
      </c>
      <c r="D17" s="452">
        <f t="shared" ref="D17:I17" si="9">SUM(D18:D22)</f>
        <v>43.513574119999994</v>
      </c>
      <c r="E17" s="453">
        <f t="shared" si="9"/>
        <v>44.84167037807142</v>
      </c>
      <c r="F17" s="453">
        <f t="shared" si="9"/>
        <v>45.986253744740857</v>
      </c>
      <c r="G17" s="453">
        <f t="shared" si="9"/>
        <v>47.159726055116728</v>
      </c>
      <c r="H17" s="453">
        <f t="shared" si="9"/>
        <v>48.445151366752739</v>
      </c>
      <c r="I17" s="453">
        <f t="shared" si="9"/>
        <v>49.717412657851483</v>
      </c>
      <c r="J17" s="450">
        <f t="shared" si="7"/>
        <v>0.22944197431102942</v>
      </c>
      <c r="K17" s="450">
        <f t="shared" ref="K17:O22" si="10">E17/D17-1</f>
        <v>3.0521424289552845E-2</v>
      </c>
      <c r="L17" s="450">
        <f t="shared" si="10"/>
        <v>2.5524993984817446E-2</v>
      </c>
      <c r="M17" s="450">
        <f t="shared" si="10"/>
        <v>2.5517893170631911E-2</v>
      </c>
      <c r="N17" s="450">
        <f t="shared" si="10"/>
        <v>2.725684432801212E-2</v>
      </c>
      <c r="O17" s="450">
        <f t="shared" si="10"/>
        <v>2.6261891132656867E-2</v>
      </c>
      <c r="P17" s="456"/>
    </row>
    <row r="18" spans="1:16" x14ac:dyDescent="0.2">
      <c r="A18" s="57" t="s">
        <v>82</v>
      </c>
      <c r="B18" s="284">
        <f>[4]Maladie!$G$91</f>
        <v>12.33898093</v>
      </c>
      <c r="C18" s="284">
        <f>[4]Maladie!$H$91</f>
        <v>11.770554090000001</v>
      </c>
      <c r="D18" s="284">
        <f>[4]Maladie!$I$91</f>
        <v>14.642937279999998</v>
      </c>
      <c r="E18" s="284">
        <f>[4]Maladie!$R$91</f>
        <v>15.148002846763978</v>
      </c>
      <c r="F18" s="284">
        <f>[4]Maladie!$W$91</f>
        <v>15.670648676053888</v>
      </c>
      <c r="G18" s="284">
        <f>[4]Maladie!$AB$91</f>
        <v>16.222766980251151</v>
      </c>
      <c r="H18" s="284">
        <f>[4]Maladie!$AG$91</f>
        <v>16.826439870355152</v>
      </c>
      <c r="I18" s="284">
        <f>[4]Maladie!$AL$91</f>
        <v>17.468373327844475</v>
      </c>
      <c r="J18" s="78">
        <f t="shared" si="7"/>
        <v>0.24403126378224704</v>
      </c>
      <c r="K18" s="78">
        <f t="shared" si="10"/>
        <v>3.4492093840613691E-2</v>
      </c>
      <c r="L18" s="78">
        <f t="shared" si="10"/>
        <v>3.4502622859063026E-2</v>
      </c>
      <c r="M18" s="78">
        <f t="shared" si="10"/>
        <v>3.5232638776526715E-2</v>
      </c>
      <c r="N18" s="78">
        <f t="shared" si="10"/>
        <v>3.7211462806491902E-2</v>
      </c>
      <c r="O18" s="78">
        <f t="shared" si="10"/>
        <v>3.81502838648764E-2</v>
      </c>
      <c r="P18" s="456"/>
    </row>
    <row r="19" spans="1:16" x14ac:dyDescent="0.2">
      <c r="A19" s="57" t="s">
        <v>83</v>
      </c>
      <c r="B19" s="284">
        <f>[4]AT!$G$43</f>
        <v>4.03883817</v>
      </c>
      <c r="C19" s="284">
        <f>[4]AT!$H$43</f>
        <v>4.1528955300000003</v>
      </c>
      <c r="D19" s="284">
        <f>[4]AT!$I$43</f>
        <v>6.1640813000000003</v>
      </c>
      <c r="E19" s="284">
        <f>[4]AT!$R$43</f>
        <v>6.1057990062021252</v>
      </c>
      <c r="F19" s="284">
        <f>[4]AT!$W$43</f>
        <v>6.2431100595312623</v>
      </c>
      <c r="G19" s="284">
        <f>[4]AT!$AB$43</f>
        <v>6.3787449825168769</v>
      </c>
      <c r="H19" s="284">
        <f>[4]AT!$AG$43</f>
        <v>6.5186912297987556</v>
      </c>
      <c r="I19" s="284">
        <f>[4]AT!$AL$43</f>
        <v>6.6629968472388263</v>
      </c>
      <c r="J19" s="78">
        <f t="shared" si="7"/>
        <v>0.48428518258440278</v>
      </c>
      <c r="K19" s="78">
        <f t="shared" si="10"/>
        <v>-9.4551468355673629E-3</v>
      </c>
      <c r="L19" s="78">
        <f t="shared" si="10"/>
        <v>2.2488629774688018E-2</v>
      </c>
      <c r="M19" s="78">
        <f t="shared" si="10"/>
        <v>2.1725537703527031E-2</v>
      </c>
      <c r="N19" s="78">
        <f t="shared" si="10"/>
        <v>2.1939464215209981E-2</v>
      </c>
      <c r="O19" s="78">
        <f t="shared" si="10"/>
        <v>2.2137207048618768E-2</v>
      </c>
      <c r="P19" s="456"/>
    </row>
    <row r="20" spans="1:16" x14ac:dyDescent="0.2">
      <c r="A20" s="57" t="s">
        <v>84</v>
      </c>
      <c r="B20" s="284">
        <f>[4]Famille!$G$56</f>
        <v>6.11649434</v>
      </c>
      <c r="C20" s="284">
        <f>[4]Famille!$H$56</f>
        <v>6.51325033</v>
      </c>
      <c r="D20" s="284">
        <f>[4]Famille!$I$56</f>
        <v>7.5952208299999997</v>
      </c>
      <c r="E20" s="284">
        <f>[4]Famille!$R$56</f>
        <v>7.8473827866820871</v>
      </c>
      <c r="F20" s="284">
        <f>[4]Famille!$W$56</f>
        <v>7.9961626165906221</v>
      </c>
      <c r="G20" s="284">
        <f>[4]Famille!$AB$56</f>
        <v>8.1497062595825511</v>
      </c>
      <c r="H20" s="284">
        <f>[4]Famille!$AG$56</f>
        <v>8.3007447108789396</v>
      </c>
      <c r="I20" s="284">
        <f>[4]Famille!$AL$56</f>
        <v>8.4485848370613983</v>
      </c>
      <c r="J20" s="78">
        <f t="shared" si="7"/>
        <v>0.16611836566705396</v>
      </c>
      <c r="K20" s="78">
        <f t="shared" si="10"/>
        <v>3.3200082305189227E-2</v>
      </c>
      <c r="L20" s="78">
        <f t="shared" si="10"/>
        <v>1.8959165616469154E-2</v>
      </c>
      <c r="M20" s="78">
        <f t="shared" si="10"/>
        <v>1.9202166133209131E-2</v>
      </c>
      <c r="N20" s="78">
        <f t="shared" si="10"/>
        <v>1.8532993274303022E-2</v>
      </c>
      <c r="O20" s="78">
        <f t="shared" si="10"/>
        <v>1.7810465365679651E-2</v>
      </c>
      <c r="P20" s="456"/>
    </row>
    <row r="21" spans="1:16" x14ac:dyDescent="0.2">
      <c r="A21" s="57" t="s">
        <v>85</v>
      </c>
      <c r="B21" s="284">
        <f>[4]Vieillesse!$G$59</f>
        <v>13.2449677</v>
      </c>
      <c r="C21" s="284">
        <f>[4]Vieillesse!$H$59</f>
        <v>12.956246630000001</v>
      </c>
      <c r="D21" s="284">
        <f>[4]Vieillesse!$I$59</f>
        <v>14.96616875</v>
      </c>
      <c r="E21" s="284">
        <f>[4]Vieillesse!$R$59</f>
        <v>15.587934542605769</v>
      </c>
      <c r="F21" s="284">
        <f>[4]Vieillesse!$W$59</f>
        <v>15.920294509554813</v>
      </c>
      <c r="G21" s="284">
        <f>[4]Vieillesse!$AB$59</f>
        <v>16.24895252201819</v>
      </c>
      <c r="H21" s="284">
        <f>[4]Vieillesse!$AG$59</f>
        <v>16.635661269740805</v>
      </c>
      <c r="I21" s="284">
        <f>[4]Vieillesse!$AL$59</f>
        <v>16.969249499268994</v>
      </c>
      <c r="J21" s="78">
        <f t="shared" si="7"/>
        <v>0.15513151126237856</v>
      </c>
      <c r="K21" s="78">
        <f t="shared" si="10"/>
        <v>4.1544753569998871E-2</v>
      </c>
      <c r="L21" s="78">
        <f t="shared" si="10"/>
        <v>2.1321616795388687E-2</v>
      </c>
      <c r="M21" s="78">
        <f t="shared" si="10"/>
        <v>2.0643965616724547E-2</v>
      </c>
      <c r="N21" s="78">
        <f t="shared" si="10"/>
        <v>2.3798995485930785E-2</v>
      </c>
      <c r="O21" s="78">
        <f t="shared" si="10"/>
        <v>2.0052598097495711E-2</v>
      </c>
      <c r="P21" s="456"/>
    </row>
    <row r="22" spans="1:16" x14ac:dyDescent="0.2">
      <c r="A22" s="57" t="s">
        <v>259</v>
      </c>
      <c r="B22" s="284">
        <f>[4]SASPA!$H$59</f>
        <v>-6.1848300000000023E-3</v>
      </c>
      <c r="C22" s="284">
        <f>[4]SASPA!$I$59</f>
        <v>0.14516596000000001</v>
      </c>
      <c r="D22" s="284">
        <f>[4]SASPA!$I$59</f>
        <v>0.14516596000000001</v>
      </c>
      <c r="E22" s="284">
        <f>[4]SASPA!$R$59</f>
        <v>0.15255119581745685</v>
      </c>
      <c r="F22" s="284">
        <f>[4]SASPA!$W$59</f>
        <v>0.1560378830102678</v>
      </c>
      <c r="G22" s="284">
        <f>[4]SASPA!$AB$59</f>
        <v>0.15955531074795637</v>
      </c>
      <c r="H22" s="284">
        <f>[4]SASPA!$AG$59</f>
        <v>0.16361428597909283</v>
      </c>
      <c r="I22" s="284">
        <f>[4]SASPA!$AL$59</f>
        <v>0.16820814643779405</v>
      </c>
      <c r="J22" s="78">
        <f t="shared" si="7"/>
        <v>0</v>
      </c>
      <c r="K22" s="78">
        <f t="shared" si="10"/>
        <v>5.0874432390739743E-2</v>
      </c>
      <c r="L22" s="78">
        <f t="shared" si="10"/>
        <v>2.2855849632166247E-2</v>
      </c>
      <c r="M22" s="78">
        <f t="shared" si="10"/>
        <v>2.2542139574253994E-2</v>
      </c>
      <c r="N22" s="78">
        <f t="shared" si="10"/>
        <v>2.5439298836929858E-2</v>
      </c>
      <c r="O22" s="78">
        <f t="shared" si="10"/>
        <v>2.8077379864544616E-2</v>
      </c>
      <c r="P22" s="451">
        <f>D23/D49</f>
        <v>2.3905989713303519E-2</v>
      </c>
    </row>
    <row r="23" spans="1:16" x14ac:dyDescent="0.2">
      <c r="A23" s="447" t="s">
        <v>87</v>
      </c>
      <c r="B23" s="452">
        <f t="shared" ref="B23:I23" si="11">B17+B11</f>
        <v>628.64792344</v>
      </c>
      <c r="C23" s="452">
        <f t="shared" si="11"/>
        <v>467.22755412999999</v>
      </c>
      <c r="D23" s="452">
        <f t="shared" si="11"/>
        <v>378.06720429000001</v>
      </c>
      <c r="E23" s="453">
        <f t="shared" si="11"/>
        <v>362.28305027988989</v>
      </c>
      <c r="F23" s="453">
        <f>F17+F11</f>
        <v>370.7974772143246</v>
      </c>
      <c r="G23" s="453">
        <f t="shared" si="11"/>
        <v>387.33027850857741</v>
      </c>
      <c r="H23" s="453">
        <f t="shared" si="11"/>
        <v>411.78930132652783</v>
      </c>
      <c r="I23" s="453">
        <f t="shared" si="11"/>
        <v>435.05082651070808</v>
      </c>
      <c r="J23" s="450">
        <f t="shared" ref="J23:O23" si="12">D23/C23-1</f>
        <v>-0.19082853537185063</v>
      </c>
      <c r="K23" s="450">
        <f>E23/D23-1</f>
        <v>-4.174959856608651E-2</v>
      </c>
      <c r="L23" s="450">
        <f t="shared" si="12"/>
        <v>2.3502139909268971E-2</v>
      </c>
      <c r="M23" s="450">
        <f t="shared" si="12"/>
        <v>4.4587146111289888E-2</v>
      </c>
      <c r="N23" s="450">
        <f t="shared" si="12"/>
        <v>6.3147717013321003E-2</v>
      </c>
      <c r="O23" s="450">
        <f t="shared" si="12"/>
        <v>5.6488901263938018E-2</v>
      </c>
      <c r="P23" s="455">
        <f>((I23/E23)^(1/4)-1)</f>
        <v>4.6822372180337579E-2</v>
      </c>
    </row>
    <row r="24" spans="1:16" x14ac:dyDescent="0.2">
      <c r="A24" s="57"/>
      <c r="B24" s="80"/>
      <c r="C24" s="80"/>
      <c r="D24" s="80"/>
      <c r="E24" s="102"/>
      <c r="F24" s="102"/>
      <c r="G24" s="102"/>
      <c r="H24" s="102"/>
      <c r="I24" s="102"/>
      <c r="J24" s="78"/>
      <c r="K24" s="78"/>
      <c r="L24" s="78"/>
      <c r="M24" s="78"/>
      <c r="N24" s="78"/>
      <c r="O24" s="78"/>
      <c r="P24" s="451">
        <f>D25/D49</f>
        <v>2.6430050392264897E-4</v>
      </c>
    </row>
    <row r="25" spans="1:16" x14ac:dyDescent="0.2">
      <c r="A25" s="447" t="s">
        <v>88</v>
      </c>
      <c r="B25" s="452">
        <f t="shared" ref="B25:I25" si="13">SUM(B26:B29)</f>
        <v>1.8401278300000001</v>
      </c>
      <c r="C25" s="452">
        <f t="shared" si="13"/>
        <v>3.1788032599999996</v>
      </c>
      <c r="D25" s="452">
        <f t="shared" si="13"/>
        <v>4.1798458799999993</v>
      </c>
      <c r="E25" s="453">
        <f t="shared" si="13"/>
        <v>4.1387407933496831</v>
      </c>
      <c r="F25" s="453">
        <f t="shared" si="13"/>
        <v>4.1464979848033856</v>
      </c>
      <c r="G25" s="453">
        <f t="shared" si="13"/>
        <v>4.1543714467851771</v>
      </c>
      <c r="H25" s="453">
        <f t="shared" si="13"/>
        <v>4.1623567864248026</v>
      </c>
      <c r="I25" s="453">
        <f t="shared" si="13"/>
        <v>4.1704492790233214</v>
      </c>
      <c r="J25" s="450">
        <f>D25/C25-1</f>
        <v>0.31491178853264423</v>
      </c>
      <c r="K25" s="450">
        <f t="shared" ref="K25:O26" si="14">E25/D25-1</f>
        <v>-9.8341153789900382E-3</v>
      </c>
      <c r="L25" s="450">
        <f t="shared" si="14"/>
        <v>1.8742878186928102E-3</v>
      </c>
      <c r="M25" s="450">
        <f t="shared" si="14"/>
        <v>1.8988220929196942E-3</v>
      </c>
      <c r="N25" s="450">
        <f t="shared" si="14"/>
        <v>1.9221535055091721E-3</v>
      </c>
      <c r="O25" s="450">
        <f t="shared" si="14"/>
        <v>1.9442092578203507E-3</v>
      </c>
      <c r="P25" s="455">
        <f>((I25/E25)^(1/4)-1)</f>
        <v>1.9098678296056715E-3</v>
      </c>
    </row>
    <row r="26" spans="1:16" x14ac:dyDescent="0.2">
      <c r="A26" s="57" t="s">
        <v>82</v>
      </c>
      <c r="B26" s="284">
        <f>[4]Maladie!$G$132</f>
        <v>0.39359049000000002</v>
      </c>
      <c r="C26" s="284">
        <f>[4]Maladie!$H$132</f>
        <v>0.44203855999999997</v>
      </c>
      <c r="D26" s="284">
        <f>[4]Maladie!$I$132</f>
        <v>2.0393311499999998</v>
      </c>
      <c r="E26" s="284">
        <f>[4]Maladie!$R$132</f>
        <v>2.002405592179846</v>
      </c>
      <c r="F26" s="284">
        <f>[4]Maladie!$W$132</f>
        <v>2.0131307653183899</v>
      </c>
      <c r="G26" s="284">
        <f>[4]Maladie!$AB$132</f>
        <v>2.023923749539529</v>
      </c>
      <c r="H26" s="284">
        <f>[4]Maladie!$AG$132</f>
        <v>2.0347809737039402</v>
      </c>
      <c r="I26" s="284">
        <f>[4]Maladie!$AL$132</f>
        <v>2.0456985688850318</v>
      </c>
      <c r="J26" s="78">
        <f>D26/C26-1</f>
        <v>3.6134689018985124</v>
      </c>
      <c r="K26" s="78">
        <f t="shared" si="14"/>
        <v>-1.8106700238533446E-2</v>
      </c>
      <c r="L26" s="78">
        <f t="shared" si="14"/>
        <v>5.3561442199470122E-3</v>
      </c>
      <c r="M26" s="78">
        <f t="shared" si="14"/>
        <v>5.3612931693645116E-3</v>
      </c>
      <c r="N26" s="78">
        <f t="shared" si="14"/>
        <v>5.3644432834396572E-3</v>
      </c>
      <c r="O26" s="78">
        <f t="shared" si="14"/>
        <v>5.3654891225065615E-3</v>
      </c>
      <c r="P26" s="456"/>
    </row>
    <row r="27" spans="1:16" x14ac:dyDescent="0.2">
      <c r="A27" s="57" t="s">
        <v>83</v>
      </c>
      <c r="B27" s="284">
        <f>[4]AT!$G$74</f>
        <v>1.0485484300000001</v>
      </c>
      <c r="C27" s="284">
        <f>[4]AT!$H$74</f>
        <v>2.3008533399999997</v>
      </c>
      <c r="D27" s="284">
        <f>[4]AT!$I$74</f>
        <v>0.17364387000000001</v>
      </c>
      <c r="E27" s="284">
        <f>[4]AT!$R$74</f>
        <v>0.17364387000000001</v>
      </c>
      <c r="F27" s="284">
        <f>[4]AT!$W$74</f>
        <v>0.17364387000000001</v>
      </c>
      <c r="G27" s="284">
        <f>[4]AT!$AB$74</f>
        <v>0.17364387000000001</v>
      </c>
      <c r="H27" s="284">
        <f>[4]AT!$AG$74</f>
        <v>0.17364387000000001</v>
      </c>
      <c r="I27" s="284">
        <f>[4]AT!$AL$74</f>
        <v>0.17364387000000001</v>
      </c>
      <c r="J27" s="78">
        <f>D27/C27-1</f>
        <v>-0.92453066565294417</v>
      </c>
      <c r="K27" s="78">
        <f>E27/C27-1</f>
        <v>-0.92453066565294417</v>
      </c>
      <c r="L27" s="78">
        <f>F27/E27-1</f>
        <v>0</v>
      </c>
      <c r="M27" s="78">
        <f t="shared" ref="M27:O29" si="15">G27/F27-1</f>
        <v>0</v>
      </c>
      <c r="N27" s="78">
        <f t="shared" si="15"/>
        <v>0</v>
      </c>
      <c r="O27" s="78">
        <f t="shared" si="15"/>
        <v>0</v>
      </c>
      <c r="P27" s="456"/>
    </row>
    <row r="28" spans="1:16" x14ac:dyDescent="0.2">
      <c r="A28" s="57" t="s">
        <v>84</v>
      </c>
      <c r="B28" s="284">
        <f>[4]Famille!$G$68</f>
        <v>0.24857645</v>
      </c>
      <c r="C28" s="284">
        <f>[4]Famille!$H$68</f>
        <v>0.26726557000000001</v>
      </c>
      <c r="D28" s="284">
        <f>[4]Famille!$I$68</f>
        <v>1.2344350799999999</v>
      </c>
      <c r="E28" s="284">
        <f>[4]Famille!$R$68</f>
        <v>1.2344350799999999</v>
      </c>
      <c r="F28" s="284">
        <f>[4]Famille!$W$68</f>
        <v>1.2344350799999999</v>
      </c>
      <c r="G28" s="284">
        <f>[4]Famille!$AB$68</f>
        <v>1.2344350799999999</v>
      </c>
      <c r="H28" s="284">
        <f>[4]Famille!$AG$68</f>
        <v>1.2344350799999999</v>
      </c>
      <c r="I28" s="284">
        <f>[4]Famille!$AL$68</f>
        <v>1.2344350799999999</v>
      </c>
      <c r="J28" s="78">
        <f>D28/C28-1</f>
        <v>3.6187583383823059</v>
      </c>
      <c r="K28" s="78">
        <f>E28/D28-1</f>
        <v>0</v>
      </c>
      <c r="L28" s="78">
        <f>F28/E28-1</f>
        <v>0</v>
      </c>
      <c r="M28" s="78">
        <f t="shared" si="15"/>
        <v>0</v>
      </c>
      <c r="N28" s="78">
        <f t="shared" si="15"/>
        <v>0</v>
      </c>
      <c r="O28" s="78">
        <f t="shared" si="15"/>
        <v>0</v>
      </c>
      <c r="P28" s="456"/>
    </row>
    <row r="29" spans="1:16" x14ac:dyDescent="0.2">
      <c r="A29" s="57" t="s">
        <v>85</v>
      </c>
      <c r="B29" s="284">
        <f>[4]Vieillesse!$G$83</f>
        <v>0.14941246</v>
      </c>
      <c r="C29" s="284">
        <f>[4]Vieillesse!$H$83</f>
        <v>0.16864579000000002</v>
      </c>
      <c r="D29" s="284">
        <f>[4]Vieillesse!$I$83</f>
        <v>0.73243577999999998</v>
      </c>
      <c r="E29" s="284">
        <f>[4]Vieillesse!$R$83</f>
        <v>0.72825625116983739</v>
      </c>
      <c r="F29" s="284">
        <f>[4]Vieillesse!$W$83</f>
        <v>0.72528826948499581</v>
      </c>
      <c r="G29" s="284">
        <f>[4]Vieillesse!$AB$83</f>
        <v>0.72236874724564815</v>
      </c>
      <c r="H29" s="284">
        <f>[4]Vieillesse!$AG$83</f>
        <v>0.71949686272086244</v>
      </c>
      <c r="I29" s="284">
        <f>[4]Vieillesse!$AL$83</f>
        <v>0.71667176013828982</v>
      </c>
      <c r="J29" s="78">
        <f>D29/C29-1</f>
        <v>3.343042183264699</v>
      </c>
      <c r="K29" s="78">
        <f>E29/D29-1</f>
        <v>-5.7063416947797929E-3</v>
      </c>
      <c r="L29" s="78">
        <f>F29/E29-1</f>
        <v>-4.0754633826677322E-3</v>
      </c>
      <c r="M29" s="78">
        <f t="shared" si="15"/>
        <v>-4.0253267041264751E-3</v>
      </c>
      <c r="N29" s="78">
        <f t="shared" si="15"/>
        <v>-3.9756489130184924E-3</v>
      </c>
      <c r="O29" s="78">
        <f t="shared" si="15"/>
        <v>-3.9264974302863909E-3</v>
      </c>
      <c r="P29" s="456"/>
    </row>
    <row r="30" spans="1:16" x14ac:dyDescent="0.2">
      <c r="A30" s="75"/>
      <c r="B30" s="81"/>
      <c r="C30" s="81"/>
      <c r="D30" s="81"/>
      <c r="E30" s="103"/>
      <c r="F30" s="103"/>
      <c r="G30" s="103"/>
      <c r="H30" s="103"/>
      <c r="I30" s="103"/>
      <c r="J30" s="77"/>
      <c r="K30" s="77"/>
      <c r="L30" s="77"/>
      <c r="M30" s="77"/>
      <c r="N30" s="77"/>
      <c r="O30" s="77"/>
      <c r="P30" s="451">
        <f>D31/D49</f>
        <v>0</v>
      </c>
    </row>
    <row r="31" spans="1:16" x14ac:dyDescent="0.2">
      <c r="A31" s="447" t="s">
        <v>89</v>
      </c>
      <c r="B31" s="452">
        <f t="shared" ref="B31:I31" si="16">SUM(B32:B35)</f>
        <v>2.4639541299999999</v>
      </c>
      <c r="C31" s="452">
        <f t="shared" si="16"/>
        <v>0</v>
      </c>
      <c r="D31" s="452">
        <f t="shared" si="16"/>
        <v>0</v>
      </c>
      <c r="E31" s="453">
        <f t="shared" si="16"/>
        <v>0</v>
      </c>
      <c r="F31" s="453">
        <f t="shared" si="16"/>
        <v>0</v>
      </c>
      <c r="G31" s="453">
        <f t="shared" si="16"/>
        <v>0</v>
      </c>
      <c r="H31" s="453">
        <f t="shared" si="16"/>
        <v>0</v>
      </c>
      <c r="I31" s="453">
        <f t="shared" si="16"/>
        <v>0</v>
      </c>
      <c r="J31" s="450" t="e">
        <f>D31/C31-1</f>
        <v>#DIV/0!</v>
      </c>
      <c r="K31" s="450" t="e">
        <f t="shared" ref="K31:O35" si="17">E31/D31-1</f>
        <v>#DIV/0!</v>
      </c>
      <c r="L31" s="450" t="e">
        <f t="shared" si="17"/>
        <v>#DIV/0!</v>
      </c>
      <c r="M31" s="450" t="e">
        <f t="shared" si="17"/>
        <v>#DIV/0!</v>
      </c>
      <c r="N31" s="450" t="e">
        <f t="shared" si="17"/>
        <v>#DIV/0!</v>
      </c>
      <c r="O31" s="450" t="e">
        <f t="shared" si="17"/>
        <v>#DIV/0!</v>
      </c>
      <c r="P31" s="455" t="e">
        <f>((I31/E31)^(1/4)-1)</f>
        <v>#DIV/0!</v>
      </c>
    </row>
    <row r="32" spans="1:16" x14ac:dyDescent="0.2">
      <c r="A32" s="57" t="s">
        <v>82</v>
      </c>
      <c r="B32" s="284">
        <f>[4]Maladie!$G$145</f>
        <v>1.15363785</v>
      </c>
      <c r="C32" s="284">
        <f>[4]Maladie!$H$145</f>
        <v>0</v>
      </c>
      <c r="D32" s="284">
        <f>[4]Maladie!$I$145</f>
        <v>0</v>
      </c>
      <c r="E32" s="284">
        <f>[4]Maladie!$R$145</f>
        <v>0</v>
      </c>
      <c r="F32" s="284">
        <f>[4]Maladie!$W$145</f>
        <v>0</v>
      </c>
      <c r="G32" s="284">
        <f>[4]Maladie!$AB$145</f>
        <v>0</v>
      </c>
      <c r="H32" s="284">
        <f>[4]Maladie!$AG$145</f>
        <v>0</v>
      </c>
      <c r="I32" s="284">
        <f>[4]Maladie!$AL$145</f>
        <v>0</v>
      </c>
      <c r="J32" s="78" t="e">
        <f>D32/C32-1</f>
        <v>#DIV/0!</v>
      </c>
      <c r="K32" s="78" t="e">
        <f t="shared" si="17"/>
        <v>#DIV/0!</v>
      </c>
      <c r="L32" s="78" t="e">
        <f t="shared" si="17"/>
        <v>#DIV/0!</v>
      </c>
      <c r="M32" s="78" t="e">
        <f t="shared" si="17"/>
        <v>#DIV/0!</v>
      </c>
      <c r="N32" s="78" t="e">
        <f t="shared" si="17"/>
        <v>#DIV/0!</v>
      </c>
      <c r="O32" s="78" t="e">
        <f t="shared" si="17"/>
        <v>#DIV/0!</v>
      </c>
      <c r="P32" s="456"/>
    </row>
    <row r="33" spans="1:16" x14ac:dyDescent="0.2">
      <c r="A33" s="57" t="s">
        <v>83</v>
      </c>
      <c r="B33" s="284">
        <f>[4]AT!$G$86</f>
        <v>0.15138835</v>
      </c>
      <c r="C33" s="284">
        <f>[4]AT!$H$86</f>
        <v>0</v>
      </c>
      <c r="D33" s="284">
        <f>[4]AT!$I$86</f>
        <v>0</v>
      </c>
      <c r="E33" s="284">
        <f>[4]AT!$R$86</f>
        <v>0</v>
      </c>
      <c r="F33" s="284">
        <f>[4]AT!$W$86</f>
        <v>0</v>
      </c>
      <c r="G33" s="284">
        <f>[4]AT!$AB$86</f>
        <v>0</v>
      </c>
      <c r="H33" s="284">
        <f>[4]AT!$AG$86</f>
        <v>0</v>
      </c>
      <c r="I33" s="284">
        <f>[4]AT!$AL$86</f>
        <v>0</v>
      </c>
      <c r="J33" s="78" t="e">
        <f>D33/C33-1</f>
        <v>#DIV/0!</v>
      </c>
      <c r="K33" s="78" t="e">
        <f t="shared" si="17"/>
        <v>#DIV/0!</v>
      </c>
      <c r="L33" s="78" t="e">
        <f t="shared" si="17"/>
        <v>#DIV/0!</v>
      </c>
      <c r="M33" s="78" t="e">
        <f t="shared" si="17"/>
        <v>#DIV/0!</v>
      </c>
      <c r="N33" s="78" t="e">
        <f t="shared" si="17"/>
        <v>#DIV/0!</v>
      </c>
      <c r="O33" s="78" t="e">
        <f t="shared" si="17"/>
        <v>#DIV/0!</v>
      </c>
      <c r="P33" s="456"/>
    </row>
    <row r="34" spans="1:16" x14ac:dyDescent="0.2">
      <c r="A34" s="57" t="s">
        <v>84</v>
      </c>
      <c r="B34" s="284">
        <f>[4]Famille!$G$79</f>
        <v>0.72383306000000003</v>
      </c>
      <c r="C34" s="284">
        <f>[4]Famille!$H$79</f>
        <v>0</v>
      </c>
      <c r="D34" s="284">
        <f>[4]Famille!$I$79</f>
        <v>0</v>
      </c>
      <c r="E34" s="284">
        <f>[4]Famille!$R$79</f>
        <v>0</v>
      </c>
      <c r="F34" s="284">
        <f>[4]Famille!$W$79</f>
        <v>0</v>
      </c>
      <c r="G34" s="284">
        <f>[4]Famille!$AB$79</f>
        <v>0</v>
      </c>
      <c r="H34" s="284">
        <f>[4]Famille!$AG$79</f>
        <v>0</v>
      </c>
      <c r="I34" s="284">
        <f>[4]Famille!$AL$79</f>
        <v>0</v>
      </c>
      <c r="J34" s="78" t="e">
        <f>D34/C34-1</f>
        <v>#DIV/0!</v>
      </c>
      <c r="K34" s="78" t="e">
        <f t="shared" si="17"/>
        <v>#DIV/0!</v>
      </c>
      <c r="L34" s="78" t="e">
        <f t="shared" si="17"/>
        <v>#DIV/0!</v>
      </c>
      <c r="M34" s="78" t="e">
        <f t="shared" si="17"/>
        <v>#DIV/0!</v>
      </c>
      <c r="N34" s="78" t="e">
        <f t="shared" si="17"/>
        <v>#DIV/0!</v>
      </c>
      <c r="O34" s="78" t="e">
        <f t="shared" si="17"/>
        <v>#DIV/0!</v>
      </c>
      <c r="P34" s="456"/>
    </row>
    <row r="35" spans="1:16" x14ac:dyDescent="0.2">
      <c r="A35" s="57" t="s">
        <v>85</v>
      </c>
      <c r="B35" s="284">
        <f>[4]Vieillesse!$G$94</f>
        <v>0.43509486999999997</v>
      </c>
      <c r="C35" s="284">
        <f>[4]Vieillesse!$H$94</f>
        <v>0</v>
      </c>
      <c r="D35" s="284">
        <f>[4]Vieillesse!$I$94</f>
        <v>0</v>
      </c>
      <c r="E35" s="284">
        <f>[4]Vieillesse!$R$94</f>
        <v>0</v>
      </c>
      <c r="F35" s="284">
        <f>[4]Vieillesse!$W$94</f>
        <v>0</v>
      </c>
      <c r="G35" s="284">
        <f>[4]Vieillesse!$AB$94</f>
        <v>0</v>
      </c>
      <c r="H35" s="284">
        <f>[4]Vieillesse!$AG$94</f>
        <v>0</v>
      </c>
      <c r="I35" s="284">
        <f>[6]Vieillesse!$AL$94</f>
        <v>0</v>
      </c>
      <c r="J35" s="78" t="e">
        <f>D35/C35-1</f>
        <v>#DIV/0!</v>
      </c>
      <c r="K35" s="78" t="e">
        <f t="shared" si="17"/>
        <v>#DIV/0!</v>
      </c>
      <c r="L35" s="78" t="e">
        <f t="shared" si="17"/>
        <v>#DIV/0!</v>
      </c>
      <c r="M35" s="78" t="e">
        <f t="shared" si="17"/>
        <v>#DIV/0!</v>
      </c>
      <c r="N35" s="78" t="e">
        <f t="shared" si="17"/>
        <v>#DIV/0!</v>
      </c>
      <c r="O35" s="78" t="e">
        <f t="shared" si="17"/>
        <v>#DIV/0!</v>
      </c>
      <c r="P35" s="456"/>
    </row>
    <row r="36" spans="1:16" x14ac:dyDescent="0.2">
      <c r="A36" s="75"/>
      <c r="B36" s="81"/>
      <c r="C36" s="81"/>
      <c r="D36" s="81"/>
      <c r="E36" s="103"/>
      <c r="F36" s="103"/>
      <c r="G36" s="103"/>
      <c r="H36" s="103"/>
      <c r="I36" s="103"/>
      <c r="J36" s="77"/>
      <c r="K36" s="77"/>
      <c r="L36" s="77"/>
      <c r="M36" s="77"/>
      <c r="N36" s="77"/>
      <c r="O36" s="77"/>
      <c r="P36" s="451">
        <f>D37/D49</f>
        <v>4.7287866402367866E-2</v>
      </c>
    </row>
    <row r="37" spans="1:16" x14ac:dyDescent="0.2">
      <c r="A37" s="447" t="s">
        <v>90</v>
      </c>
      <c r="B37" s="452">
        <f>SUM(B38:B41)</f>
        <v>759.97075379000012</v>
      </c>
      <c r="C37" s="452">
        <f t="shared" ref="C37:I37" si="18">SUM(C38:C42)</f>
        <v>754.49803847999999</v>
      </c>
      <c r="D37" s="452">
        <f t="shared" si="18"/>
        <v>747.84569314999999</v>
      </c>
      <c r="E37" s="453">
        <f t="shared" si="18"/>
        <v>773.50852153756023</v>
      </c>
      <c r="F37" s="453">
        <f t="shared" si="18"/>
        <v>796.40108926975336</v>
      </c>
      <c r="G37" s="453">
        <f t="shared" si="18"/>
        <v>821.12010617772694</v>
      </c>
      <c r="H37" s="453">
        <f t="shared" si="18"/>
        <v>845.91582027255754</v>
      </c>
      <c r="I37" s="453">
        <f t="shared" si="18"/>
        <v>871.4284805496203</v>
      </c>
      <c r="J37" s="450">
        <f t="shared" ref="J37:J47" si="19">D37/C37-1</f>
        <v>-8.8169153406968404E-3</v>
      </c>
      <c r="K37" s="450">
        <f t="shared" ref="K37:O42" si="20">E37/D37-1</f>
        <v>3.431567316977624E-2</v>
      </c>
      <c r="L37" s="450">
        <f t="shared" si="20"/>
        <v>2.9595753756775478E-2</v>
      </c>
      <c r="M37" s="450">
        <f t="shared" si="20"/>
        <v>3.1038401681041439E-2</v>
      </c>
      <c r="N37" s="450">
        <f t="shared" si="20"/>
        <v>3.01974265497571E-2</v>
      </c>
      <c r="O37" s="450">
        <f t="shared" si="20"/>
        <v>3.0159809836447504E-2</v>
      </c>
      <c r="P37" s="455">
        <f>((I37/E37)^(1/4)-1)</f>
        <v>3.0247719303041709E-2</v>
      </c>
    </row>
    <row r="38" spans="1:16" x14ac:dyDescent="0.2">
      <c r="A38" s="57" t="s">
        <v>82</v>
      </c>
      <c r="B38" s="284">
        <f>[4]Maladie!$G$103</f>
        <v>406.80084109000006</v>
      </c>
      <c r="C38" s="284">
        <f>[4]Maladie!$H$103</f>
        <v>409.12918354000004</v>
      </c>
      <c r="D38" s="284">
        <f>[4]Maladie!$I$103</f>
        <v>391.09024434000003</v>
      </c>
      <c r="E38" s="284">
        <f>[4]Maladie!$R$103</f>
        <v>406.03667864923131</v>
      </c>
      <c r="F38" s="284">
        <f>[4]Maladie!$W$103</f>
        <v>420.40636163579194</v>
      </c>
      <c r="G38" s="284">
        <f>[4]Maladie!$AB$103</f>
        <v>436.96284441077853</v>
      </c>
      <c r="H38" s="284">
        <f>[4]Maladie!$AG$103</f>
        <v>453.52150255191202</v>
      </c>
      <c r="I38" s="284">
        <f>[4]Maladie!$AL$103</f>
        <v>470.73767305984711</v>
      </c>
      <c r="J38" s="78">
        <f t="shared" si="19"/>
        <v>-4.4091059561964463E-2</v>
      </c>
      <c r="K38" s="78">
        <f t="shared" si="20"/>
        <v>3.821735398809234E-2</v>
      </c>
      <c r="L38" s="78">
        <f t="shared" si="20"/>
        <v>3.5390110652969708E-2</v>
      </c>
      <c r="M38" s="78">
        <f t="shared" si="20"/>
        <v>3.9382093816481945E-2</v>
      </c>
      <c r="N38" s="78">
        <f t="shared" si="20"/>
        <v>3.7894888210602939E-2</v>
      </c>
      <c r="O38" s="78">
        <f t="shared" si="20"/>
        <v>3.7961089851444196E-2</v>
      </c>
      <c r="P38" s="456"/>
    </row>
    <row r="39" spans="1:16" x14ac:dyDescent="0.2">
      <c r="A39" s="57" t="s">
        <v>83</v>
      </c>
      <c r="B39" s="284">
        <f>[4]AT!$G$55</f>
        <v>89.995679300000006</v>
      </c>
      <c r="C39" s="284">
        <f>[4]AT!$H$55</f>
        <v>84.290724920000002</v>
      </c>
      <c r="D39" s="284">
        <f>[4]AT!$I$55</f>
        <v>83.46501302999998</v>
      </c>
      <c r="E39" s="284">
        <f>[4]AT!$R$55</f>
        <v>84.248277331642313</v>
      </c>
      <c r="F39" s="284">
        <f>[4]AT!$W$55</f>
        <v>86.18313322680261</v>
      </c>
      <c r="G39" s="284">
        <f>[4]AT!$AB$55</f>
        <v>88.195484226883522</v>
      </c>
      <c r="H39" s="284">
        <f>[4]AT!$AG$55</f>
        <v>90.240152380753088</v>
      </c>
      <c r="I39" s="284">
        <f>[4]AT!$AL$55</f>
        <v>92.389546228649223</v>
      </c>
      <c r="J39" s="78">
        <f t="shared" si="19"/>
        <v>-9.7959993911987953E-3</v>
      </c>
      <c r="K39" s="78">
        <f>E39/D39-1</f>
        <v>9.3843428906050796E-3</v>
      </c>
      <c r="L39" s="78">
        <f>F39/E39-1</f>
        <v>2.2966118197809138E-2</v>
      </c>
      <c r="M39" s="78">
        <f>G39/F39-1</f>
        <v>2.3349708054650753E-2</v>
      </c>
      <c r="N39" s="78">
        <f>H39/G39-1</f>
        <v>2.3183365586038951E-2</v>
      </c>
      <c r="O39" s="78">
        <f>I39/H39-1</f>
        <v>2.3818597278372655E-2</v>
      </c>
      <c r="P39" s="456"/>
    </row>
    <row r="40" spans="1:16" x14ac:dyDescent="0.2">
      <c r="A40" s="57" t="s">
        <v>84</v>
      </c>
      <c r="B40" s="284">
        <f>[4]Famille!$G$61</f>
        <v>69.956644780000005</v>
      </c>
      <c r="C40" s="284">
        <f>[4]Famille!$H$61</f>
        <v>60.295213629999992</v>
      </c>
      <c r="D40" s="284">
        <f>[4]Famille!$I$61</f>
        <v>63.215545240000004</v>
      </c>
      <c r="E40" s="284">
        <f>[4]Famille!$R$61</f>
        <v>64.632592682198847</v>
      </c>
      <c r="F40" s="284">
        <f>[4]Famille!$W$61</f>
        <v>65.763450609804494</v>
      </c>
      <c r="G40" s="284">
        <f>[4]Famille!$AB$61</f>
        <v>66.780867747402795</v>
      </c>
      <c r="H40" s="284">
        <f>[4]Famille!$AG$61</f>
        <v>67.489071416190484</v>
      </c>
      <c r="I40" s="284">
        <f>[4]Famille!$AL$61</f>
        <v>68.234010590520768</v>
      </c>
      <c r="J40" s="78">
        <f t="shared" si="19"/>
        <v>4.8433887769608885E-2</v>
      </c>
      <c r="K40" s="78">
        <f t="shared" si="20"/>
        <v>2.2416123072560357E-2</v>
      </c>
      <c r="L40" s="78">
        <f t="shared" si="20"/>
        <v>1.7496713046405654E-2</v>
      </c>
      <c r="M40" s="78">
        <f t="shared" si="20"/>
        <v>1.5470860001476572E-2</v>
      </c>
      <c r="N40" s="78">
        <f t="shared" si="20"/>
        <v>1.0604888685580738E-2</v>
      </c>
      <c r="O40" s="78">
        <f t="shared" si="20"/>
        <v>1.103792301032569E-2</v>
      </c>
      <c r="P40" s="456"/>
    </row>
    <row r="41" spans="1:16" x14ac:dyDescent="0.2">
      <c r="A41" s="57" t="s">
        <v>85</v>
      </c>
      <c r="B41" s="284">
        <f>[4]Vieillesse!$G$71</f>
        <v>193.21758862000001</v>
      </c>
      <c r="C41" s="284">
        <f>[4]Vieillesse!$H$71</f>
        <v>158.87089508</v>
      </c>
      <c r="D41" s="284">
        <f>[4]Vieillesse!$I$71</f>
        <v>191.40549885999997</v>
      </c>
      <c r="E41" s="284">
        <f>[4]Vieillesse!$R$71</f>
        <v>199.12931945092092</v>
      </c>
      <c r="F41" s="284">
        <f>[4]Vieillesse!$W$71</f>
        <v>204.21245101432399</v>
      </c>
      <c r="G41" s="284">
        <f>[4]Vieillesse!$AB$71</f>
        <v>208.96787991421428</v>
      </c>
      <c r="H41" s="284">
        <f>[4]Vieillesse!$AG$71</f>
        <v>214.01663166730441</v>
      </c>
      <c r="I41" s="284">
        <f>[4]Vieillesse!$AL$71</f>
        <v>218.92597545783246</v>
      </c>
      <c r="J41" s="78">
        <f t="shared" si="19"/>
        <v>0.20478643217574288</v>
      </c>
      <c r="K41" s="78">
        <f t="shared" si="20"/>
        <v>4.0353180221694762E-2</v>
      </c>
      <c r="L41" s="78">
        <f t="shared" si="20"/>
        <v>2.5526786198131424E-2</v>
      </c>
      <c r="M41" s="78">
        <f t="shared" si="20"/>
        <v>2.3286674618859138E-2</v>
      </c>
      <c r="N41" s="78">
        <f t="shared" si="20"/>
        <v>2.4160420037580677E-2</v>
      </c>
      <c r="O41" s="78">
        <f t="shared" si="20"/>
        <v>2.2939076053489993E-2</v>
      </c>
      <c r="P41" s="456"/>
    </row>
    <row r="42" spans="1:16" x14ac:dyDescent="0.2">
      <c r="A42" s="57" t="s">
        <v>230</v>
      </c>
      <c r="B42" s="286">
        <f>[4]SASPA!$G$71</f>
        <v>33.495199190000001</v>
      </c>
      <c r="C42" s="286">
        <f>[4]SASPA!$H$71</f>
        <v>41.91202131</v>
      </c>
      <c r="D42" s="286">
        <f>[4]SASPA!$I$71</f>
        <v>18.66939168</v>
      </c>
      <c r="E42" s="286">
        <f>[4]SASPA!$R$71</f>
        <v>19.461653423566865</v>
      </c>
      <c r="F42" s="286">
        <f>[4]SASPA!$W$71</f>
        <v>19.835692783030389</v>
      </c>
      <c r="G42" s="286">
        <f>[4]SASPA!$AB$71</f>
        <v>20.213029878447777</v>
      </c>
      <c r="H42" s="286">
        <f>[4]SASPA!$AG$71</f>
        <v>20.648462256397522</v>
      </c>
      <c r="I42" s="286">
        <f>[4]SASPA!$AL$71</f>
        <v>21.141275212770637</v>
      </c>
      <c r="J42" s="78">
        <f t="shared" si="19"/>
        <v>-0.55455759239305458</v>
      </c>
      <c r="K42" s="78">
        <f t="shared" si="20"/>
        <v>4.2436398418679744E-2</v>
      </c>
      <c r="L42" s="78">
        <f t="shared" si="20"/>
        <v>1.9219300196281708E-2</v>
      </c>
      <c r="M42" s="78">
        <f t="shared" si="20"/>
        <v>1.9023136703357535E-2</v>
      </c>
      <c r="N42" s="78">
        <f t="shared" si="20"/>
        <v>2.1542162682598454E-2</v>
      </c>
      <c r="O42" s="78">
        <f t="shared" si="20"/>
        <v>2.3866811496842777E-2</v>
      </c>
      <c r="P42" s="451">
        <f>D43/D49</f>
        <v>4.5991429719317696E-2</v>
      </c>
    </row>
    <row r="43" spans="1:16" x14ac:dyDescent="0.2">
      <c r="A43" s="447" t="s">
        <v>91</v>
      </c>
      <c r="B43" s="452">
        <f t="shared" ref="B43:I43" si="21">SUM(B44:B47)</f>
        <v>681.07337615999995</v>
      </c>
      <c r="C43" s="452">
        <f t="shared" si="21"/>
        <v>689.57197067999994</v>
      </c>
      <c r="D43" s="452">
        <f t="shared" si="21"/>
        <v>727.34287363999999</v>
      </c>
      <c r="E43" s="453">
        <f t="shared" si="21"/>
        <v>734.36841995735676</v>
      </c>
      <c r="F43" s="453">
        <f>SUM(F44:F47)</f>
        <v>742.5369037149942</v>
      </c>
      <c r="G43" s="453">
        <f t="shared" si="21"/>
        <v>750.82268414171222</v>
      </c>
      <c r="H43" s="453">
        <f>SUM(H44:H47)</f>
        <v>759.21941773900369</v>
      </c>
      <c r="I43" s="453">
        <f t="shared" si="21"/>
        <v>767.72828092909322</v>
      </c>
      <c r="J43" s="450">
        <f t="shared" si="19"/>
        <v>5.4774417415419885E-2</v>
      </c>
      <c r="K43" s="450">
        <f t="shared" ref="K43:O47" si="22">E43/D43-1</f>
        <v>9.6591945449293615E-3</v>
      </c>
      <c r="L43" s="450">
        <f t="shared" si="22"/>
        <v>1.1123141376520262E-2</v>
      </c>
      <c r="M43" s="450">
        <f t="shared" si="22"/>
        <v>1.1158745626329569E-2</v>
      </c>
      <c r="N43" s="450">
        <f t="shared" si="22"/>
        <v>1.1183377613171119E-2</v>
      </c>
      <c r="O43" s="450">
        <f t="shared" si="22"/>
        <v>1.1207383519548753E-2</v>
      </c>
      <c r="P43" s="450">
        <f>((I43/E43)^(1/4)-1)</f>
        <v>1.1168161553583467E-2</v>
      </c>
    </row>
    <row r="44" spans="1:16" x14ac:dyDescent="0.2">
      <c r="A44" s="57" t="s">
        <v>82</v>
      </c>
      <c r="B44" s="284">
        <f>[4]Maladie!$G$138</f>
        <v>332.37607204</v>
      </c>
      <c r="C44" s="284">
        <f>[4]Maladie!$H$138</f>
        <v>341.52975994999997</v>
      </c>
      <c r="D44" s="284">
        <f>[4]Maladie!$I$138</f>
        <v>368.18062950000001</v>
      </c>
      <c r="E44" s="284">
        <f>[4]Maladie!$R$138</f>
        <v>371.71488488883926</v>
      </c>
      <c r="F44" s="284">
        <f>[4]Maladie!$W$138</f>
        <v>375.86748494986085</v>
      </c>
      <c r="G44" s="284">
        <f>[4]Maladie!$AB$138</f>
        <v>380.07554116736929</v>
      </c>
      <c r="H44" s="284">
        <f>[4]Maladie!$AG$138</f>
        <v>384.33963485249325</v>
      </c>
      <c r="I44" s="284">
        <f>[4]Maladie!$AL$138</f>
        <v>388.66034249607071</v>
      </c>
      <c r="J44" s="78">
        <f t="shared" si="19"/>
        <v>7.8033813375155692E-2</v>
      </c>
      <c r="K44" s="78">
        <f t="shared" si="22"/>
        <v>9.5992431585520954E-3</v>
      </c>
      <c r="L44" s="78">
        <f t="shared" si="22"/>
        <v>1.1171465630878341E-2</v>
      </c>
      <c r="M44" s="78">
        <f t="shared" si="22"/>
        <v>1.11955845770213E-2</v>
      </c>
      <c r="N44" s="78">
        <f t="shared" si="22"/>
        <v>1.1219068904110951E-2</v>
      </c>
      <c r="O44" s="78">
        <f t="shared" si="22"/>
        <v>1.1241899746394113E-2</v>
      </c>
      <c r="P44" s="456"/>
    </row>
    <row r="45" spans="1:16" x14ac:dyDescent="0.2">
      <c r="A45" s="57" t="s">
        <v>83</v>
      </c>
      <c r="B45" s="284">
        <f>[4]AT!$G$80</f>
        <v>50.29831326</v>
      </c>
      <c r="C45" s="284">
        <f>[4]AT!$H$80</f>
        <v>49.339755529999998</v>
      </c>
      <c r="D45" s="284">
        <f>[4]AT!$I$80</f>
        <v>50.680162860000003</v>
      </c>
      <c r="E45" s="284">
        <f>[4]AT!$R$80</f>
        <v>51.203441200825111</v>
      </c>
      <c r="F45" s="284">
        <f>[4]AT!$W$80</f>
        <v>51.735505397835269</v>
      </c>
      <c r="G45" s="284">
        <f>[4]AT!$AB$80</f>
        <v>52.28285630104466</v>
      </c>
      <c r="H45" s="284">
        <f>[4]AT!$AG$80</f>
        <v>52.838079465240213</v>
      </c>
      <c r="I45" s="284">
        <f>[4]AT!$AL$80</f>
        <v>53.401289120787041</v>
      </c>
      <c r="J45" s="78">
        <f t="shared" si="19"/>
        <v>2.716688227579489E-2</v>
      </c>
      <c r="K45" s="78">
        <f t="shared" si="22"/>
        <v>1.0325111666878994E-2</v>
      </c>
      <c r="L45" s="78">
        <f t="shared" si="22"/>
        <v>1.0391180446707615E-2</v>
      </c>
      <c r="M45" s="78">
        <f t="shared" si="22"/>
        <v>1.057979233024553E-2</v>
      </c>
      <c r="N45" s="78">
        <f t="shared" si="22"/>
        <v>1.0619602743174195E-2</v>
      </c>
      <c r="O45" s="78">
        <f t="shared" si="22"/>
        <v>1.0659162127899302E-2</v>
      </c>
      <c r="P45" s="456"/>
    </row>
    <row r="46" spans="1:16" x14ac:dyDescent="0.2">
      <c r="A46" s="57" t="s">
        <v>84</v>
      </c>
      <c r="B46" s="284">
        <f>[4]Famille!$G$72</f>
        <v>187.32606887</v>
      </c>
      <c r="C46" s="284">
        <f>[4]Famille!$H$72</f>
        <v>184.25225839999999</v>
      </c>
      <c r="D46" s="284">
        <f>[4]Famille!$I$72</f>
        <v>194.02202332000002</v>
      </c>
      <c r="E46" s="284">
        <f>[4]Famille!$R$72</f>
        <v>195.88508445197897</v>
      </c>
      <c r="F46" s="284">
        <f>[4]Famille!$W$72</f>
        <v>198.07379865045078</v>
      </c>
      <c r="G46" s="284">
        <f>[4]Famille!$AB$72</f>
        <v>200.29174469969763</v>
      </c>
      <c r="H46" s="284">
        <f>[4]Famille!$AG$72</f>
        <v>202.53922916203334</v>
      </c>
      <c r="I46" s="284">
        <f>[4]Famille!$AL$72</f>
        <v>204.81655606871112</v>
      </c>
      <c r="J46" s="78">
        <f t="shared" si="19"/>
        <v>5.3023854387665104E-2</v>
      </c>
      <c r="K46" s="78">
        <f t="shared" si="22"/>
        <v>9.6023178199013959E-3</v>
      </c>
      <c r="L46" s="78">
        <f t="shared" si="22"/>
        <v>1.117346021824539E-2</v>
      </c>
      <c r="M46" s="78">
        <f t="shared" si="22"/>
        <v>1.1197574158513302E-2</v>
      </c>
      <c r="N46" s="78">
        <f t="shared" si="22"/>
        <v>1.122105389668171E-2</v>
      </c>
      <c r="O46" s="78">
        <f t="shared" si="22"/>
        <v>1.1243880585996902E-2</v>
      </c>
      <c r="P46" s="456"/>
    </row>
    <row r="47" spans="1:16" x14ac:dyDescent="0.2">
      <c r="A47" s="57" t="s">
        <v>85</v>
      </c>
      <c r="B47" s="284">
        <f>[4]Vieillesse!$G$87</f>
        <v>111.07292199</v>
      </c>
      <c r="C47" s="284">
        <f>[4]Vieillesse!$H$87</f>
        <v>114.4501968</v>
      </c>
      <c r="D47" s="284">
        <f>[4]Vieillesse!$I$87</f>
        <v>114.46005796</v>
      </c>
      <c r="E47" s="284">
        <f>[4]Vieillesse!$R$87</f>
        <v>115.56500941571338</v>
      </c>
      <c r="F47" s="284">
        <f>[4]Vieillesse!$W$87</f>
        <v>116.86011471684731</v>
      </c>
      <c r="G47" s="284">
        <f>[4]Vieillesse!$AB$87</f>
        <v>118.17254197360054</v>
      </c>
      <c r="H47" s="284">
        <f>[4]Vieillesse!$AG$87</f>
        <v>119.50247425923695</v>
      </c>
      <c r="I47" s="284">
        <f>[4]Vieillesse!$AL$87</f>
        <v>120.8500932435243</v>
      </c>
      <c r="J47" s="78">
        <f t="shared" si="19"/>
        <v>8.6161144984497895E-5</v>
      </c>
      <c r="K47" s="78">
        <f t="shared" si="22"/>
        <v>9.6535986037986632E-3</v>
      </c>
      <c r="L47" s="78">
        <f t="shared" si="22"/>
        <v>1.1206725181626132E-2</v>
      </c>
      <c r="M47" s="78">
        <f t="shared" si="22"/>
        <v>1.1230754478833482E-2</v>
      </c>
      <c r="N47" s="78">
        <f t="shared" si="22"/>
        <v>1.1254156536071758E-2</v>
      </c>
      <c r="O47" s="78">
        <f t="shared" si="22"/>
        <v>1.1276912822440366E-2</v>
      </c>
      <c r="P47" s="456"/>
    </row>
    <row r="48" spans="1:16" x14ac:dyDescent="0.2">
      <c r="A48" s="57"/>
      <c r="B48" s="79"/>
      <c r="C48" s="79"/>
      <c r="D48" s="79"/>
      <c r="E48" s="101"/>
      <c r="F48" s="101"/>
      <c r="G48" s="101"/>
      <c r="H48" s="101"/>
      <c r="I48" s="101"/>
      <c r="J48" s="78"/>
      <c r="K48" s="78"/>
      <c r="L48" s="78"/>
      <c r="M48" s="78"/>
      <c r="N48" s="78"/>
      <c r="O48" s="78"/>
      <c r="P48" s="456"/>
    </row>
    <row r="49" spans="1:16" x14ac:dyDescent="0.2">
      <c r="A49" s="457" t="s">
        <v>92</v>
      </c>
      <c r="B49" s="448">
        <f t="shared" ref="B49:I49" si="23">B4+B23+B25+B31+B37+B43</f>
        <v>14364.951342240001</v>
      </c>
      <c r="C49" s="448">
        <f t="shared" si="23"/>
        <v>15462.598015490003</v>
      </c>
      <c r="D49" s="448">
        <f t="shared" si="23"/>
        <v>15814.74805369</v>
      </c>
      <c r="E49" s="448">
        <f t="shared" si="23"/>
        <v>16449.577590940229</v>
      </c>
      <c r="F49" s="448">
        <f t="shared" si="23"/>
        <v>16998.978932939906</v>
      </c>
      <c r="G49" s="448">
        <f t="shared" si="23"/>
        <v>17568.513799405871</v>
      </c>
      <c r="H49" s="448">
        <f t="shared" si="23"/>
        <v>18164.478177721023</v>
      </c>
      <c r="I49" s="448">
        <f t="shared" si="23"/>
        <v>18749.053630878701</v>
      </c>
      <c r="J49" s="450">
        <f t="shared" ref="J49:O49" si="24">D49/C49-1</f>
        <v>2.2774312431017352E-2</v>
      </c>
      <c r="K49" s="450">
        <f t="shared" si="24"/>
        <v>4.0141615604309733E-2</v>
      </c>
      <c r="L49" s="450">
        <f t="shared" si="24"/>
        <v>3.3399115506909105E-2</v>
      </c>
      <c r="M49" s="450">
        <f t="shared" si="24"/>
        <v>3.3504063315376253E-2</v>
      </c>
      <c r="N49" s="450">
        <f t="shared" si="24"/>
        <v>3.3922299012868473E-2</v>
      </c>
      <c r="O49" s="450">
        <f t="shared" si="24"/>
        <v>3.2182342230709926E-2</v>
      </c>
      <c r="P49" s="450">
        <f>((I49/E49)^(1/4)-1)</f>
        <v>3.3251751867716672E-2</v>
      </c>
    </row>
    <row r="50" spans="1:16" x14ac:dyDescent="0.2">
      <c r="B50" s="458" t="s">
        <v>97</v>
      </c>
      <c r="C50" s="459">
        <f>'Détail CHG PDT'!B7</f>
        <v>15462.591830660002</v>
      </c>
      <c r="D50" s="459">
        <f>'Détail CHG PDT'!C7</f>
        <v>15814.74805369</v>
      </c>
      <c r="E50" s="459">
        <f>'Détail CHG PDT'!D7</f>
        <v>16449.577590940229</v>
      </c>
      <c r="F50" s="459">
        <f>'Détail CHG PDT'!E7</f>
        <v>16998.978932939903</v>
      </c>
      <c r="G50" s="459">
        <f>'Détail CHG PDT'!F7</f>
        <v>17568.513799405871</v>
      </c>
      <c r="H50" s="459">
        <f>'Détail CHG PDT'!G7</f>
        <v>18164.478177721023</v>
      </c>
      <c r="I50" s="459">
        <f>'Détail CHG PDT'!H7</f>
        <v>18749.053630878701</v>
      </c>
    </row>
    <row r="52" spans="1:16" x14ac:dyDescent="0.2">
      <c r="A52" s="82" t="s">
        <v>105</v>
      </c>
      <c r="B52" s="444">
        <f t="shared" ref="B52:G52" si="25">D2</f>
        <v>2023</v>
      </c>
      <c r="C52" s="444">
        <f t="shared" si="25"/>
        <v>2024</v>
      </c>
      <c r="D52" s="444">
        <f t="shared" si="25"/>
        <v>2025</v>
      </c>
      <c r="E52" s="444">
        <f t="shared" si="25"/>
        <v>2026</v>
      </c>
      <c r="F52" s="444">
        <f t="shared" si="25"/>
        <v>2027</v>
      </c>
      <c r="G52" s="444">
        <f t="shared" si="25"/>
        <v>2028</v>
      </c>
      <c r="H52" s="444" t="s">
        <v>280</v>
      </c>
      <c r="J52" s="104"/>
    </row>
    <row r="53" spans="1:16" x14ac:dyDescent="0.2">
      <c r="A53" s="83" t="s">
        <v>80</v>
      </c>
      <c r="B53" s="463">
        <f t="shared" ref="B53:G53" si="26">(D4/D$49)*J4*100</f>
        <v>2.665546622535846</v>
      </c>
      <c r="C53" s="463">
        <f t="shared" si="26"/>
        <v>3.9230622510125426</v>
      </c>
      <c r="D53" s="463">
        <f t="shared" si="26"/>
        <v>3.1040138715996255</v>
      </c>
      <c r="E53" s="463">
        <f t="shared" si="26"/>
        <v>3.0618050296078207</v>
      </c>
      <c r="F53" s="463">
        <f t="shared" si="26"/>
        <v>3.0657308343634662</v>
      </c>
      <c r="G53" s="463">
        <f t="shared" si="26"/>
        <v>2.9041826457911748</v>
      </c>
      <c r="H53" s="460">
        <f t="shared" ref="H53:H60" si="27">(G53/C53)^(1/4)-1</f>
        <v>-7.2423619032882414E-2</v>
      </c>
      <c r="J53" s="104"/>
      <c r="M53"/>
      <c r="P53" s="9"/>
    </row>
    <row r="54" spans="1:16" x14ac:dyDescent="0.2">
      <c r="A54" s="83" t="s">
        <v>87</v>
      </c>
      <c r="B54" s="463">
        <f t="shared" ref="B54:G54" si="28">(D23/D$49)*J23*100</f>
        <v>-0.4561945003604238</v>
      </c>
      <c r="C54" s="463">
        <f t="shared" si="28"/>
        <v>-9.194869493070193E-2</v>
      </c>
      <c r="D54" s="463">
        <f t="shared" si="28"/>
        <v>5.1265044929306738E-2</v>
      </c>
      <c r="E54" s="463">
        <f t="shared" si="28"/>
        <v>9.8300584320186374E-2</v>
      </c>
      <c r="F54" s="463">
        <f t="shared" si="28"/>
        <v>0.14315607646342662</v>
      </c>
      <c r="G54" s="463">
        <f t="shared" si="28"/>
        <v>0.13107617945624411</v>
      </c>
      <c r="H54" s="460" t="e">
        <f t="shared" si="27"/>
        <v>#NUM!</v>
      </c>
      <c r="J54" s="104"/>
      <c r="M54"/>
      <c r="P54" s="9"/>
    </row>
    <row r="55" spans="1:16" x14ac:dyDescent="0.2">
      <c r="A55" s="83" t="s">
        <v>88</v>
      </c>
      <c r="B55" s="460">
        <f t="shared" ref="B55:G55" si="29">(D25/D$49)*J25*100</f>
        <v>8.3231344400360539E-3</v>
      </c>
      <c r="C55" s="460">
        <f t="shared" si="29"/>
        <v>-2.4742796135962763E-4</v>
      </c>
      <c r="D55" s="460">
        <f t="shared" si="29"/>
        <v>4.5718808722631795E-5</v>
      </c>
      <c r="E55" s="460">
        <f t="shared" si="29"/>
        <v>4.4900851463128412E-5</v>
      </c>
      <c r="F55" s="460">
        <f t="shared" si="29"/>
        <v>4.4045794269054637E-5</v>
      </c>
      <c r="G55" s="460">
        <f t="shared" si="29"/>
        <v>4.3246055279257021E-5</v>
      </c>
      <c r="H55" s="460" t="e">
        <f t="shared" si="27"/>
        <v>#NUM!</v>
      </c>
      <c r="J55" s="104"/>
      <c r="M55"/>
      <c r="P55" s="9"/>
    </row>
    <row r="56" spans="1:16" x14ac:dyDescent="0.2">
      <c r="A56" s="83" t="s">
        <v>89</v>
      </c>
      <c r="B56" s="460" t="e">
        <f>(D31/D$49)*J31*100</f>
        <v>#DIV/0!</v>
      </c>
      <c r="C56" s="460" t="e">
        <f>(E31/E$49)*K31*100</f>
        <v>#DIV/0!</v>
      </c>
      <c r="D56" s="460" t="e">
        <f>(F31/F$49)*L31*100</f>
        <v>#DIV/0!</v>
      </c>
      <c r="E56" s="460" t="e">
        <f>(G31/G$49)*M31*100</f>
        <v>#DIV/0!</v>
      </c>
      <c r="F56" s="460" t="e">
        <f>(H31/H$49)*N31*100</f>
        <v>#DIV/0!</v>
      </c>
      <c r="G56" s="460" t="e">
        <f>(H31/H$49)*O31*100</f>
        <v>#DIV/0!</v>
      </c>
      <c r="H56" s="460" t="e">
        <f t="shared" si="27"/>
        <v>#DIV/0!</v>
      </c>
      <c r="J56" s="104"/>
      <c r="M56"/>
      <c r="P56" s="9"/>
    </row>
    <row r="57" spans="1:16" x14ac:dyDescent="0.2">
      <c r="A57" s="83" t="s">
        <v>90</v>
      </c>
      <c r="B57" s="460">
        <f t="shared" ref="B57:G57" si="30">(D37/D$49)*J37*100</f>
        <v>-4.1693311471185997E-2</v>
      </c>
      <c r="C57" s="460">
        <f t="shared" si="30"/>
        <v>0.16136259713890053</v>
      </c>
      <c r="D57" s="460">
        <f t="shared" si="30"/>
        <v>0.13865591940926675</v>
      </c>
      <c r="E57" s="460">
        <f t="shared" si="30"/>
        <v>0.14506779557406602</v>
      </c>
      <c r="F57" s="460">
        <f t="shared" si="30"/>
        <v>0.14062876235711924</v>
      </c>
      <c r="G57" s="460">
        <f t="shared" si="30"/>
        <v>0.14017836727585911</v>
      </c>
      <c r="H57" s="460">
        <f t="shared" si="27"/>
        <v>-3.4572799987654945E-2</v>
      </c>
      <c r="J57" s="104"/>
      <c r="M57"/>
      <c r="P57" s="9"/>
    </row>
    <row r="58" spans="1:16" x14ac:dyDescent="0.2">
      <c r="A58" s="83" t="s">
        <v>91</v>
      </c>
      <c r="B58" s="460">
        <f t="shared" ref="B58:G58" si="31">(D43/D$49)*J43*100</f>
        <v>0.25191537689778548</v>
      </c>
      <c r="C58" s="460">
        <f t="shared" si="31"/>
        <v>4.3122125153701577E-2</v>
      </c>
      <c r="D58" s="460">
        <f t="shared" si="31"/>
        <v>4.8587288624147226E-2</v>
      </c>
      <c r="E58" s="460">
        <f t="shared" si="31"/>
        <v>4.7688947616608822E-2</v>
      </c>
      <c r="F58" s="460">
        <f t="shared" si="31"/>
        <v>4.6743084809565669E-2</v>
      </c>
      <c r="G58" s="460">
        <f t="shared" si="31"/>
        <v>4.5891517793759523E-2</v>
      </c>
      <c r="H58" s="460">
        <f t="shared" si="27"/>
        <v>1.5682726286195603E-2</v>
      </c>
      <c r="J58" s="104"/>
      <c r="M58"/>
      <c r="P58" s="9"/>
    </row>
    <row r="59" spans="1:16" x14ac:dyDescent="0.2">
      <c r="A59" s="83" t="s">
        <v>93</v>
      </c>
      <c r="B59" s="85">
        <f t="shared" ref="B59:G59" si="32">(D49/D$49)*J49*100</f>
        <v>2.2774312431017352</v>
      </c>
      <c r="C59" s="85">
        <f t="shared" si="32"/>
        <v>4.0141615604309733</v>
      </c>
      <c r="D59" s="85">
        <f t="shared" si="32"/>
        <v>3.3399115506909105</v>
      </c>
      <c r="E59" s="85">
        <f t="shared" si="32"/>
        <v>3.3504063315376253</v>
      </c>
      <c r="F59" s="85">
        <f t="shared" si="32"/>
        <v>3.3922299012868473</v>
      </c>
      <c r="G59" s="85">
        <f t="shared" si="32"/>
        <v>3.2182342230709926</v>
      </c>
      <c r="H59" s="460">
        <f t="shared" si="27"/>
        <v>-5.375041887255938E-2</v>
      </c>
      <c r="J59" s="104"/>
      <c r="M59"/>
      <c r="P59" s="9"/>
    </row>
    <row r="60" spans="1:16" x14ac:dyDescent="0.2">
      <c r="A60" s="462" t="s">
        <v>155</v>
      </c>
      <c r="B60" s="461">
        <f t="shared" ref="B60:G60" si="33">(D3/D$49)*J3*100</f>
        <v>2.665546622535846</v>
      </c>
      <c r="C60" s="461">
        <f t="shared" si="33"/>
        <v>3.9230622510125426</v>
      </c>
      <c r="D60" s="461">
        <f t="shared" si="33"/>
        <v>3.1040138715996255</v>
      </c>
      <c r="E60" s="461">
        <f t="shared" si="33"/>
        <v>3.0618050296078207</v>
      </c>
      <c r="F60" s="461">
        <f t="shared" si="33"/>
        <v>3.0657308343634662</v>
      </c>
      <c r="G60" s="461">
        <f t="shared" si="33"/>
        <v>2.9041826457911748</v>
      </c>
      <c r="H60" s="460">
        <f t="shared" si="27"/>
        <v>-7.2423619032882414E-2</v>
      </c>
    </row>
    <row r="63" spans="1:16" x14ac:dyDescent="0.2">
      <c r="A63" s="483" t="s">
        <v>117</v>
      </c>
      <c r="B63" s="484">
        <f t="shared" ref="B63:G63" si="34">B52</f>
        <v>2023</v>
      </c>
      <c r="C63" s="484">
        <f t="shared" si="34"/>
        <v>2024</v>
      </c>
      <c r="D63" s="484">
        <f t="shared" si="34"/>
        <v>2025</v>
      </c>
      <c r="E63" s="484">
        <f t="shared" si="34"/>
        <v>2026</v>
      </c>
      <c r="F63" s="484">
        <f t="shared" si="34"/>
        <v>2027</v>
      </c>
      <c r="G63" s="484">
        <f t="shared" si="34"/>
        <v>2028</v>
      </c>
    </row>
    <row r="64" spans="1:16" x14ac:dyDescent="0.2">
      <c r="A64" s="485" t="s">
        <v>118</v>
      </c>
      <c r="B64" s="486">
        <f t="shared" ref="B64:G68" si="35">D6+D12+D18+D26+D32+D38+D44</f>
        <v>6137.2472051500008</v>
      </c>
      <c r="C64" s="486">
        <f t="shared" si="35"/>
        <v>6313.3870358075874</v>
      </c>
      <c r="D64" s="486">
        <f t="shared" si="35"/>
        <v>6537.3302567347409</v>
      </c>
      <c r="E64" s="486">
        <f t="shared" si="35"/>
        <v>6804.2397632770089</v>
      </c>
      <c r="F64" s="486">
        <f t="shared" si="35"/>
        <v>7064.6230927348306</v>
      </c>
      <c r="G64" s="486">
        <f t="shared" si="35"/>
        <v>7334.4902269769427</v>
      </c>
    </row>
    <row r="65" spans="1:9" x14ac:dyDescent="0.2">
      <c r="A65" s="485" t="s">
        <v>102</v>
      </c>
      <c r="B65" s="486">
        <f t="shared" si="35"/>
        <v>766.76793252999994</v>
      </c>
      <c r="C65" s="486">
        <f t="shared" si="35"/>
        <v>782.97544573976472</v>
      </c>
      <c r="D65" s="486">
        <f t="shared" si="35"/>
        <v>800.5497772695287</v>
      </c>
      <c r="E65" s="486">
        <f t="shared" si="35"/>
        <v>819.07146146908735</v>
      </c>
      <c r="F65" s="486">
        <f t="shared" si="35"/>
        <v>837.61015036970787</v>
      </c>
      <c r="G65" s="486">
        <f t="shared" si="35"/>
        <v>856.17002165060933</v>
      </c>
    </row>
    <row r="66" spans="1:9" x14ac:dyDescent="0.2">
      <c r="A66" s="485" t="s">
        <v>119</v>
      </c>
      <c r="B66" s="486">
        <f t="shared" si="35"/>
        <v>981.95520630999999</v>
      </c>
      <c r="C66" s="486">
        <f t="shared" si="35"/>
        <v>985.32529777899936</v>
      </c>
      <c r="D66" s="486">
        <f t="shared" si="35"/>
        <v>1002.7348904973385</v>
      </c>
      <c r="E66" s="486">
        <f t="shared" si="35"/>
        <v>1019.3226791601655</v>
      </c>
      <c r="F66" s="486">
        <f t="shared" si="35"/>
        <v>1036.4559184185941</v>
      </c>
      <c r="G66" s="486">
        <f t="shared" si="35"/>
        <v>1053.9499639408125</v>
      </c>
    </row>
    <row r="67" spans="1:9" x14ac:dyDescent="0.2">
      <c r="A67" s="485" t="s">
        <v>150</v>
      </c>
      <c r="B67" s="486">
        <f t="shared" si="35"/>
        <v>7234.5708767199994</v>
      </c>
      <c r="C67" s="486">
        <f t="shared" si="35"/>
        <v>7615.2751465405745</v>
      </c>
      <c r="D67" s="486">
        <f t="shared" si="35"/>
        <v>7889.1581563343134</v>
      </c>
      <c r="E67" s="486">
        <f t="shared" si="35"/>
        <v>8138.6708055944364</v>
      </c>
      <c r="F67" s="486">
        <f t="shared" si="35"/>
        <v>8418.9245427860769</v>
      </c>
      <c r="G67" s="486">
        <f t="shared" si="35"/>
        <v>8675.6387048341967</v>
      </c>
    </row>
    <row r="68" spans="1:9" x14ac:dyDescent="0.2">
      <c r="A68" s="485" t="s">
        <v>243</v>
      </c>
      <c r="B68" s="486">
        <f t="shared" si="35"/>
        <v>694.20683297999994</v>
      </c>
      <c r="C68" s="486">
        <f t="shared" si="35"/>
        <v>752.61466507330113</v>
      </c>
      <c r="D68" s="486">
        <f t="shared" si="35"/>
        <v>769.2058521039811</v>
      </c>
      <c r="E68" s="486">
        <f t="shared" si="35"/>
        <v>787.20908990517364</v>
      </c>
      <c r="F68" s="486">
        <f t="shared" si="35"/>
        <v>806.86447341181406</v>
      </c>
      <c r="G68" s="486">
        <f t="shared" si="35"/>
        <v>828.80471347613923</v>
      </c>
    </row>
    <row r="69" spans="1:9" x14ac:dyDescent="0.2">
      <c r="A69" s="487" t="s">
        <v>120</v>
      </c>
      <c r="B69" s="488">
        <f t="shared" ref="B69:G69" si="36">SUM(B64:B68)</f>
        <v>15814.74805369</v>
      </c>
      <c r="C69" s="488">
        <f t="shared" si="36"/>
        <v>16449.577590940229</v>
      </c>
      <c r="D69" s="488">
        <f t="shared" si="36"/>
        <v>16998.978932939903</v>
      </c>
      <c r="E69" s="488">
        <f t="shared" si="36"/>
        <v>17568.513799405871</v>
      </c>
      <c r="F69" s="488">
        <f t="shared" si="36"/>
        <v>18164.478177721023</v>
      </c>
      <c r="G69" s="488">
        <f t="shared" si="36"/>
        <v>18749.053630878701</v>
      </c>
    </row>
    <row r="70" spans="1:9" x14ac:dyDescent="0.2">
      <c r="E70"/>
      <c r="F70"/>
      <c r="G70"/>
    </row>
    <row r="71" spans="1:9" x14ac:dyDescent="0.2">
      <c r="A71" s="215" t="s">
        <v>25</v>
      </c>
    </row>
    <row r="72" spans="1:9" ht="12.75" customHeight="1" x14ac:dyDescent="0.2">
      <c r="A72" s="470"/>
      <c r="B72" s="464">
        <v>2023</v>
      </c>
      <c r="C72" s="464">
        <v>2024</v>
      </c>
      <c r="D72" s="612" t="s">
        <v>0</v>
      </c>
      <c r="E72" s="612" t="s">
        <v>104</v>
      </c>
      <c r="F72" s="612" t="s">
        <v>221</v>
      </c>
      <c r="G72" s="612" t="s">
        <v>220</v>
      </c>
    </row>
    <row r="73" spans="1:9" x14ac:dyDescent="0.2">
      <c r="A73" s="470"/>
      <c r="B73" s="464" t="s">
        <v>219</v>
      </c>
      <c r="C73" s="464" t="s">
        <v>219</v>
      </c>
      <c r="D73" s="613"/>
      <c r="E73" s="613"/>
      <c r="F73" s="613"/>
      <c r="G73" s="613"/>
    </row>
    <row r="74" spans="1:9" x14ac:dyDescent="0.2">
      <c r="A74" s="471" t="s">
        <v>153</v>
      </c>
      <c r="B74" s="473">
        <f>TableauxNote!D47</f>
        <v>13957.312436729999</v>
      </c>
      <c r="C74" s="473">
        <f>TableauxNote!E47</f>
        <v>14575.278858372072</v>
      </c>
      <c r="D74" s="474">
        <f t="shared" ref="D74:D82" si="37">C74/B74-1</f>
        <v>4.427545950865408E-2</v>
      </c>
      <c r="E74" s="474">
        <f>'RESULTAT NET'!H17</f>
        <v>3.4151299331799834E-2</v>
      </c>
      <c r="F74" s="475">
        <f>(B74/B82)*D74*100</f>
        <v>3.9075325104397423</v>
      </c>
      <c r="G74" s="474">
        <f>C74/C82</f>
        <v>0.88605794147562511</v>
      </c>
      <c r="H74" s="182"/>
      <c r="I74" s="182"/>
    </row>
    <row r="75" spans="1:9" x14ac:dyDescent="0.2">
      <c r="A75" s="471" t="s">
        <v>154</v>
      </c>
      <c r="B75" s="475">
        <f>D23</f>
        <v>378.06720429000001</v>
      </c>
      <c r="C75" s="475">
        <f>E23</f>
        <v>362.28305027988989</v>
      </c>
      <c r="D75" s="474">
        <f t="shared" si="37"/>
        <v>-4.174959856608651E-2</v>
      </c>
      <c r="E75" s="476">
        <f>P23</f>
        <v>4.6822372180337579E-2</v>
      </c>
      <c r="F75" s="475">
        <f>(B75/B82)*D75*100</f>
        <v>-9.9806547385541539E-2</v>
      </c>
      <c r="G75" s="474">
        <f>C75/C82</f>
        <v>2.2023851267732306E-2</v>
      </c>
      <c r="H75" s="182"/>
      <c r="I75" s="182"/>
    </row>
    <row r="76" spans="1:9" x14ac:dyDescent="0.2">
      <c r="A76" s="470" t="s">
        <v>90</v>
      </c>
      <c r="B76" s="475">
        <f>D37</f>
        <v>747.84569314999999</v>
      </c>
      <c r="C76" s="475">
        <f>E37</f>
        <v>773.50852153756023</v>
      </c>
      <c r="D76" s="474">
        <f t="shared" si="37"/>
        <v>3.431567316977624E-2</v>
      </c>
      <c r="E76" s="476">
        <f>P37</f>
        <v>3.0247719303041709E-2</v>
      </c>
      <c r="F76" s="475">
        <f>(B76/B82)*D76*100</f>
        <v>0.16227149683596984</v>
      </c>
      <c r="G76" s="474">
        <f>C76/C82</f>
        <v>4.7023002096028159E-2</v>
      </c>
      <c r="H76" s="182"/>
      <c r="I76" s="182"/>
    </row>
    <row r="77" spans="1:9" x14ac:dyDescent="0.2">
      <c r="A77" s="470" t="s">
        <v>91</v>
      </c>
      <c r="B77" s="475">
        <f>D43</f>
        <v>727.34287363999999</v>
      </c>
      <c r="C77" s="475">
        <f>E43</f>
        <v>734.36841995735676</v>
      </c>
      <c r="D77" s="474">
        <f t="shared" si="37"/>
        <v>9.6591945449293615E-3</v>
      </c>
      <c r="E77" s="476">
        <f>P43</f>
        <v>1.1168161553583467E-2</v>
      </c>
      <c r="F77" s="475">
        <f>(B77/B82)*D77*100</f>
        <v>4.4424016705833555E-2</v>
      </c>
      <c r="G77" s="474">
        <f>C77/C82</f>
        <v>4.4643603514890107E-2</v>
      </c>
      <c r="H77" s="182"/>
      <c r="I77" s="182"/>
    </row>
    <row r="78" spans="1:9" x14ac:dyDescent="0.2">
      <c r="A78" s="471" t="s">
        <v>152</v>
      </c>
      <c r="B78" s="477">
        <f>SUM(B74:B77)</f>
        <v>15810.56820781</v>
      </c>
      <c r="C78" s="477">
        <f>SUM(C74:C77)</f>
        <v>16445.438850146878</v>
      </c>
      <c r="D78" s="474">
        <f t="shared" si="37"/>
        <v>4.0154827707157947E-2</v>
      </c>
      <c r="E78" s="476">
        <f>P49</f>
        <v>3.3251751867716672E-2</v>
      </c>
      <c r="F78" s="475">
        <f>(B78/B82)*D78*100</f>
        <v>4.0144214765960013</v>
      </c>
      <c r="G78" s="474"/>
    </row>
    <row r="79" spans="1:9" x14ac:dyDescent="0.2">
      <c r="A79" s="472" t="s">
        <v>89</v>
      </c>
      <c r="B79" s="478">
        <f>D31</f>
        <v>0</v>
      </c>
      <c r="C79" s="478">
        <f>E31</f>
        <v>0</v>
      </c>
      <c r="D79" s="479" t="e">
        <f t="shared" si="37"/>
        <v>#DIV/0!</v>
      </c>
      <c r="E79" s="479" t="e">
        <f>P31</f>
        <v>#DIV/0!</v>
      </c>
      <c r="F79" s="480" t="e">
        <f>(B79/B82)*D79*100</f>
        <v>#DIV/0!</v>
      </c>
      <c r="G79" s="481">
        <f>C79/C82</f>
        <v>0</v>
      </c>
      <c r="H79" s="182"/>
      <c r="I79" s="182"/>
    </row>
    <row r="80" spans="1:9" x14ac:dyDescent="0.2">
      <c r="A80" s="472" t="s">
        <v>88</v>
      </c>
      <c r="B80" s="477">
        <f>D25</f>
        <v>4.1798458799999993</v>
      </c>
      <c r="C80" s="477">
        <f>E25</f>
        <v>4.1387407933496831</v>
      </c>
      <c r="D80" s="479">
        <f t="shared" si="37"/>
        <v>-9.8341153789900382E-3</v>
      </c>
      <c r="E80" s="479">
        <f>P25</f>
        <v>1.9098678296056715E-3</v>
      </c>
      <c r="F80" s="478">
        <f>(B80/B82)*D80*100</f>
        <v>-2.5991616503005392E-4</v>
      </c>
      <c r="G80" s="481">
        <f>C80/C82</f>
        <v>2.5160164572427299E-4</v>
      </c>
      <c r="H80" s="182"/>
      <c r="I80" s="182"/>
    </row>
    <row r="81" spans="1:7" x14ac:dyDescent="0.2">
      <c r="A81" s="471" t="s">
        <v>173</v>
      </c>
      <c r="B81" s="482">
        <f>D4</f>
        <v>13957.312436729999</v>
      </c>
      <c r="C81" s="482">
        <f>E4</f>
        <v>14575.278858372072</v>
      </c>
      <c r="D81" s="479">
        <f t="shared" si="37"/>
        <v>4.427545950865408E-2</v>
      </c>
      <c r="E81" s="476">
        <f>P4</f>
        <v>3.4151299331799834E-2</v>
      </c>
      <c r="F81" s="475">
        <f>(B81/B82)*D81*100</f>
        <v>3.9075325104397423</v>
      </c>
      <c r="G81" s="476">
        <f>C81/C82</f>
        <v>0.88605794147562511</v>
      </c>
    </row>
    <row r="82" spans="1:7" x14ac:dyDescent="0.2">
      <c r="A82" s="465" t="s">
        <v>152</v>
      </c>
      <c r="B82" s="466">
        <f>B81+B75+B76+B77+B79+B80</f>
        <v>15814.74805369</v>
      </c>
      <c r="C82" s="466">
        <f>C81+C75+C76+C77+C79+C80</f>
        <v>16449.577590940229</v>
      </c>
      <c r="D82" s="467">
        <f t="shared" si="37"/>
        <v>4.0141615604309733E-2</v>
      </c>
      <c r="E82" s="468">
        <f>P49</f>
        <v>3.3251751867716672E-2</v>
      </c>
      <c r="F82" s="469">
        <f>(B82/B82)*D82*100</f>
        <v>4.0141615604309733</v>
      </c>
      <c r="G82" s="468">
        <f>G75+G76+G77+G79+G81</f>
        <v>0.99974839835427565</v>
      </c>
    </row>
  </sheetData>
  <protectedRanges>
    <protectedRange sqref="G24:I24 G48:I48 G22:I22 G6:I6 G42:I42 G10:I10" name="Plage1"/>
    <protectedRange sqref="B24:F24 B6:F6 B22:F22 B42:F42 B48:F48 B10:F10 B7:I9 B18:I20 B26:I29 B32:I35 B38:I41 B44:I47 B21:H21 B12:I16" name="Plage1_1"/>
    <protectedRange sqref="B17:F17 B25:F25 B31:F31 B43:F43 B37:I37" name="Plage1_1_1"/>
  </protectedRanges>
  <mergeCells count="8">
    <mergeCell ref="A1:A2"/>
    <mergeCell ref="B1:C1"/>
    <mergeCell ref="E1:I1"/>
    <mergeCell ref="J1:O1"/>
    <mergeCell ref="G72:G73"/>
    <mergeCell ref="F72:F73"/>
    <mergeCell ref="E72:E73"/>
    <mergeCell ref="D72:D73"/>
  </mergeCells>
  <phoneticPr fontId="4" type="noConversion"/>
  <pageMargins left="0.78740157499999996" right="0.78740157499999996" top="0.984251969" bottom="0.984251969" header="0.4921259845" footer="0.4921259845"/>
  <pageSetup paperSize="9" orientation="portrait" horizontalDpi="4294967295" verticalDpi="4294967295"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L53"/>
  <sheetViews>
    <sheetView zoomScale="90" zoomScaleNormal="90" workbookViewId="0">
      <selection sqref="A1:B1"/>
    </sheetView>
  </sheetViews>
  <sheetFormatPr baseColWidth="10" defaultColWidth="11.42578125" defaultRowHeight="14.25" x14ac:dyDescent="0.2"/>
  <cols>
    <col min="1" max="1" width="9.140625" style="4" customWidth="1"/>
    <col min="2" max="2" width="17.140625" style="4" customWidth="1"/>
    <col min="3" max="9" width="12.7109375" style="4" customWidth="1"/>
    <col min="10" max="16384" width="11.42578125" style="4"/>
  </cols>
  <sheetData>
    <row r="1" spans="1:12" x14ac:dyDescent="0.2">
      <c r="A1" s="617" t="s">
        <v>32</v>
      </c>
      <c r="B1" s="617"/>
      <c r="C1" s="616" t="s">
        <v>23</v>
      </c>
      <c r="D1" s="616"/>
      <c r="E1" s="616" t="s">
        <v>1</v>
      </c>
      <c r="F1" s="616"/>
      <c r="G1" s="616"/>
      <c r="H1" s="616"/>
      <c r="I1" s="616"/>
    </row>
    <row r="2" spans="1:12" ht="15" x14ac:dyDescent="0.25">
      <c r="A2" s="31"/>
      <c r="B2" s="32" t="s">
        <v>2</v>
      </c>
      <c r="C2" s="35">
        <f>TableauxNote!C4</f>
        <v>2022</v>
      </c>
      <c r="D2" s="35">
        <f>TableauxNote!D4</f>
        <v>2023</v>
      </c>
      <c r="E2" s="35" t="str">
        <f>TableauxNote!E4</f>
        <v>2024(p)</v>
      </c>
      <c r="F2" s="35" t="str">
        <f>TableauxNote!F4</f>
        <v>2025(p)</v>
      </c>
      <c r="G2" s="35" t="str">
        <f>TableauxNote!G4</f>
        <v>2026(p)</v>
      </c>
      <c r="H2" s="35" t="str">
        <f>TableauxNote!H4</f>
        <v>2027(p)</v>
      </c>
      <c r="I2" s="35" t="str">
        <f>TableauxNote!I4</f>
        <v>2028(p)</v>
      </c>
      <c r="K2" s="614" t="s">
        <v>158</v>
      </c>
      <c r="L2" s="614"/>
    </row>
    <row r="3" spans="1:12" s="9" customFormat="1" x14ac:dyDescent="0.2">
      <c r="A3" s="33"/>
      <c r="B3" s="33" t="s">
        <v>3</v>
      </c>
      <c r="C3" s="45">
        <f>TableauxNote!C5</f>
        <v>6106.6009445300006</v>
      </c>
      <c r="D3" s="45">
        <f>TableauxNote!D5</f>
        <v>6137.2472051500008</v>
      </c>
      <c r="E3" s="45">
        <f>TableauxNote!E5</f>
        <v>6313.3870358075874</v>
      </c>
      <c r="F3" s="45">
        <f>TableauxNote!F5</f>
        <v>6537.3302567347409</v>
      </c>
      <c r="G3" s="45">
        <f>TableauxNote!G5</f>
        <v>6804.2397632770089</v>
      </c>
      <c r="H3" s="45">
        <f>TableauxNote!H5</f>
        <v>7064.6230927348306</v>
      </c>
      <c r="I3" s="45">
        <f>TableauxNote!I5</f>
        <v>7334.4902269769427</v>
      </c>
      <c r="K3" s="117" t="s">
        <v>130</v>
      </c>
    </row>
    <row r="4" spans="1:12" s="9" customFormat="1" x14ac:dyDescent="0.2">
      <c r="A4" s="33"/>
      <c r="B4" s="33" t="s">
        <v>33</v>
      </c>
      <c r="C4" s="45">
        <f>TableauxNote!C6</f>
        <v>740.97023516000002</v>
      </c>
      <c r="D4" s="45">
        <f>TableauxNote!D6</f>
        <v>766.76793252999994</v>
      </c>
      <c r="E4" s="45">
        <f>TableauxNote!E6</f>
        <v>782.97544573976472</v>
      </c>
      <c r="F4" s="45">
        <f>TableauxNote!F6</f>
        <v>800.5497772695287</v>
      </c>
      <c r="G4" s="45">
        <f>TableauxNote!G6</f>
        <v>819.07146146908735</v>
      </c>
      <c r="H4" s="45">
        <f>TableauxNote!H6</f>
        <v>837.61015036970787</v>
      </c>
      <c r="I4" s="45">
        <f>TableauxNote!I6</f>
        <v>856.17002165060933</v>
      </c>
    </row>
    <row r="5" spans="1:12" s="9" customFormat="1" x14ac:dyDescent="0.2">
      <c r="A5" s="33"/>
      <c r="B5" s="33" t="s">
        <v>5</v>
      </c>
      <c r="C5" s="45">
        <f>TableauxNote!C7</f>
        <v>1023.51358857</v>
      </c>
      <c r="D5" s="45">
        <f>TableauxNote!D7</f>
        <v>981.95520630999999</v>
      </c>
      <c r="E5" s="45">
        <f>TableauxNote!E7</f>
        <v>985.32529777899936</v>
      </c>
      <c r="F5" s="45">
        <f>TableauxNote!F7</f>
        <v>1002.7348904973385</v>
      </c>
      <c r="G5" s="45">
        <f>TableauxNote!G7</f>
        <v>1019.3226791601655</v>
      </c>
      <c r="H5" s="45">
        <f>TableauxNote!H7</f>
        <v>1036.4559184185941</v>
      </c>
      <c r="I5" s="45">
        <f>TableauxNote!I7</f>
        <v>1053.9499639408125</v>
      </c>
    </row>
    <row r="6" spans="1:12" s="9" customFormat="1" x14ac:dyDescent="0.2">
      <c r="A6" s="33"/>
      <c r="B6" s="33" t="s">
        <v>4</v>
      </c>
      <c r="C6" s="45">
        <f>TableauxNote!C8</f>
        <v>6893.7466213700009</v>
      </c>
      <c r="D6" s="45">
        <f>TableauxNote!D8</f>
        <v>7234.5708767199994</v>
      </c>
      <c r="E6" s="45">
        <f>TableauxNote!E8</f>
        <v>7615.2751465405745</v>
      </c>
      <c r="F6" s="45">
        <f>TableauxNote!F8</f>
        <v>7889.1581563343134</v>
      </c>
      <c r="G6" s="45">
        <f>TableauxNote!G8</f>
        <v>8138.6708055944364</v>
      </c>
      <c r="H6" s="45">
        <f>TableauxNote!H8</f>
        <v>8418.9245427860769</v>
      </c>
      <c r="I6" s="45">
        <f>TableauxNote!I8</f>
        <v>8675.6387048341967</v>
      </c>
      <c r="J6" s="221">
        <f>((I6/D6)^(1/5))-1</f>
        <v>3.6997564424080753E-2</v>
      </c>
    </row>
    <row r="7" spans="1:12" s="9" customFormat="1" x14ac:dyDescent="0.2">
      <c r="A7" s="33"/>
      <c r="B7" s="213" t="s">
        <v>231</v>
      </c>
      <c r="C7" s="45">
        <f>TableauxNote!C9</f>
        <v>697.76044102999992</v>
      </c>
      <c r="D7" s="45">
        <f>TableauxNote!D9</f>
        <v>694.20683297999994</v>
      </c>
      <c r="E7" s="45">
        <f>TableauxNote!E9</f>
        <v>752.61466507330113</v>
      </c>
      <c r="F7" s="45">
        <f>TableauxNote!F9</f>
        <v>769.2058521039811</v>
      </c>
      <c r="G7" s="45">
        <f>TableauxNote!G9</f>
        <v>787.20908990517364</v>
      </c>
      <c r="H7" s="45">
        <f>TableauxNote!H9</f>
        <v>806.86447341181406</v>
      </c>
      <c r="I7" s="45">
        <f>TableauxNote!I9</f>
        <v>828.80471347613923</v>
      </c>
    </row>
    <row r="8" spans="1:12" x14ac:dyDescent="0.2">
      <c r="A8" s="34" t="s">
        <v>20</v>
      </c>
      <c r="B8" s="34"/>
      <c r="C8" s="46">
        <f>SUM(C3:C7)</f>
        <v>15462.591830660002</v>
      </c>
      <c r="D8" s="46">
        <f t="shared" ref="D8:I8" si="0">SUM(D3:D7)</f>
        <v>15814.74805369</v>
      </c>
      <c r="E8" s="46">
        <f t="shared" si="0"/>
        <v>16449.577590940229</v>
      </c>
      <c r="F8" s="46">
        <f t="shared" si="0"/>
        <v>16998.978932939903</v>
      </c>
      <c r="G8" s="46">
        <f t="shared" si="0"/>
        <v>17568.513799405871</v>
      </c>
      <c r="H8" s="46">
        <f t="shared" si="0"/>
        <v>18164.478177721023</v>
      </c>
      <c r="I8" s="46">
        <f t="shared" si="0"/>
        <v>18749.053630878701</v>
      </c>
    </row>
    <row r="9" spans="1:12" s="9" customFormat="1" x14ac:dyDescent="0.2">
      <c r="A9" s="33"/>
      <c r="B9" s="33" t="s">
        <v>7</v>
      </c>
      <c r="C9" s="45">
        <f>TableauxNote!C11</f>
        <v>6106.6009445300006</v>
      </c>
      <c r="D9" s="45">
        <f>TableauxNote!D11</f>
        <v>6137.2472051499999</v>
      </c>
      <c r="E9" s="45">
        <f>TableauxNote!E11</f>
        <v>6313.3870358075874</v>
      </c>
      <c r="F9" s="45">
        <f>TableauxNote!F11</f>
        <v>6537.3302567347409</v>
      </c>
      <c r="G9" s="45">
        <f>TableauxNote!G11</f>
        <v>6804.2397632770089</v>
      </c>
      <c r="H9" s="45">
        <f>TableauxNote!H11</f>
        <v>7064.6230927348306</v>
      </c>
      <c r="I9" s="45">
        <f>TableauxNote!I11</f>
        <v>7334.4902269769418</v>
      </c>
    </row>
    <row r="10" spans="1:12" s="9" customFormat="1" x14ac:dyDescent="0.2">
      <c r="A10" s="33"/>
      <c r="B10" s="33" t="s">
        <v>34</v>
      </c>
      <c r="C10" s="45">
        <f>TableauxNote!C12</f>
        <v>800.57428067000001</v>
      </c>
      <c r="D10" s="45">
        <f>TableauxNote!D12</f>
        <v>827.33309961999987</v>
      </c>
      <c r="E10" s="45">
        <f>TableauxNote!E12</f>
        <v>826.78410071339567</v>
      </c>
      <c r="F10" s="45">
        <f>TableauxNote!F12</f>
        <v>845.77691960296988</v>
      </c>
      <c r="G10" s="45">
        <f>TableauxNote!G12</f>
        <v>865.43403793608547</v>
      </c>
      <c r="H10" s="45">
        <f>TableauxNote!H12</f>
        <v>884.33578210540838</v>
      </c>
      <c r="I10" s="45">
        <f>TableauxNote!I12</f>
        <v>905.03507241792465</v>
      </c>
    </row>
    <row r="11" spans="1:12" s="9" customFormat="1" x14ac:dyDescent="0.2">
      <c r="A11" s="33"/>
      <c r="B11" s="33" t="s">
        <v>9</v>
      </c>
      <c r="C11" s="45">
        <f>TableauxNote!C13</f>
        <v>1023.5135885699997</v>
      </c>
      <c r="D11" s="45">
        <f>TableauxNote!D13</f>
        <v>981.95520630999999</v>
      </c>
      <c r="E11" s="45">
        <f>TableauxNote!E13</f>
        <v>985.32529777899924</v>
      </c>
      <c r="F11" s="45">
        <f>TableauxNote!F13</f>
        <v>1002.7348904973385</v>
      </c>
      <c r="G11" s="45">
        <f>TableauxNote!G13</f>
        <v>1019.3226791601655</v>
      </c>
      <c r="H11" s="45">
        <f>TableauxNote!H13</f>
        <v>1036.4559184185944</v>
      </c>
      <c r="I11" s="45">
        <f>TableauxNote!I13</f>
        <v>1053.9499639408125</v>
      </c>
    </row>
    <row r="12" spans="1:12" s="9" customFormat="1" x14ac:dyDescent="0.2">
      <c r="A12" s="33"/>
      <c r="B12" s="33" t="s">
        <v>8</v>
      </c>
      <c r="C12" s="45">
        <f>TableauxNote!C14</f>
        <v>6893.7466213700009</v>
      </c>
      <c r="D12" s="45">
        <f>TableauxNote!D14</f>
        <v>7234.6103347100006</v>
      </c>
      <c r="E12" s="45">
        <f>TableauxNote!E14</f>
        <v>7615.2751465405736</v>
      </c>
      <c r="F12" s="45">
        <f>TableauxNote!F14</f>
        <v>7889.1581563343143</v>
      </c>
      <c r="G12" s="45">
        <f>TableauxNote!G14</f>
        <v>8138.6708055944373</v>
      </c>
      <c r="H12" s="45">
        <f>TableauxNote!H14</f>
        <v>8418.9245427860769</v>
      </c>
      <c r="I12" s="45">
        <f>TableauxNote!I14</f>
        <v>8675.6387048341967</v>
      </c>
    </row>
    <row r="13" spans="1:12" s="9" customFormat="1" x14ac:dyDescent="0.2">
      <c r="A13" s="33"/>
      <c r="B13" s="213" t="s">
        <v>244</v>
      </c>
      <c r="C13" s="45">
        <f>TableauxNote!C15</f>
        <v>697.76044103000015</v>
      </c>
      <c r="D13" s="45">
        <f>TableauxNote!D15</f>
        <v>694.20683297999994</v>
      </c>
      <c r="E13" s="45">
        <f>TableauxNote!E15</f>
        <v>752.61466507330113</v>
      </c>
      <c r="F13" s="45">
        <f>TableauxNote!F15</f>
        <v>769.2058521039811</v>
      </c>
      <c r="G13" s="45">
        <f>TableauxNote!G15</f>
        <v>787.20908990517364</v>
      </c>
      <c r="H13" s="45">
        <f>TableauxNote!H15</f>
        <v>806.86447341181417</v>
      </c>
      <c r="I13" s="45">
        <f>TableauxNote!I15</f>
        <v>828.80471347613934</v>
      </c>
    </row>
    <row r="14" spans="1:12" x14ac:dyDescent="0.2">
      <c r="A14" s="34" t="s">
        <v>10</v>
      </c>
      <c r="B14" s="34"/>
      <c r="C14" s="46">
        <f>SUM(C9:C13)</f>
        <v>15522.195876170003</v>
      </c>
      <c r="D14" s="46">
        <f t="shared" ref="D14:I14" si="1">SUM(D9:D13)</f>
        <v>15875.352678770001</v>
      </c>
      <c r="E14" s="46">
        <f t="shared" si="1"/>
        <v>16493.386245913858</v>
      </c>
      <c r="F14" s="46">
        <f t="shared" si="1"/>
        <v>17044.206075273345</v>
      </c>
      <c r="G14" s="46">
        <f t="shared" si="1"/>
        <v>17614.876375872871</v>
      </c>
      <c r="H14" s="46">
        <f t="shared" si="1"/>
        <v>18211.203809456725</v>
      </c>
      <c r="I14" s="46">
        <f t="shared" si="1"/>
        <v>18797.918681646017</v>
      </c>
    </row>
    <row r="15" spans="1:12" s="15" customFormat="1" ht="15" x14ac:dyDescent="0.25">
      <c r="A15" s="595" t="s">
        <v>11</v>
      </c>
      <c r="B15" s="595"/>
      <c r="C15" s="43">
        <f t="shared" ref="C15:I15" si="2">C14-C8</f>
        <v>59.604045510001015</v>
      </c>
      <c r="D15" s="43">
        <f t="shared" si="2"/>
        <v>60.604625080000915</v>
      </c>
      <c r="E15" s="43">
        <f t="shared" si="2"/>
        <v>43.808654973629018</v>
      </c>
      <c r="F15" s="43">
        <f t="shared" si="2"/>
        <v>45.227142333442316</v>
      </c>
      <c r="G15" s="43">
        <f t="shared" si="2"/>
        <v>46.362576466999599</v>
      </c>
      <c r="H15" s="43">
        <f t="shared" si="2"/>
        <v>46.725631735702336</v>
      </c>
      <c r="I15" s="43">
        <f t="shared" si="2"/>
        <v>48.865050767315552</v>
      </c>
    </row>
    <row r="16" spans="1:12" x14ac:dyDescent="0.2">
      <c r="C16" s="433" t="b">
        <f>C15='RESULTAT NET'!B11</f>
        <v>1</v>
      </c>
      <c r="D16" s="433" t="b">
        <f>D15='RESULTAT NET'!C11</f>
        <v>1</v>
      </c>
      <c r="E16" s="433" t="b">
        <f>E15='RESULTAT NET'!D11</f>
        <v>1</v>
      </c>
      <c r="F16" s="433" t="b">
        <f>F15='RESULTAT NET'!E11</f>
        <v>1</v>
      </c>
      <c r="G16" s="433" t="b">
        <f>G15='RESULTAT NET'!F11</f>
        <v>1</v>
      </c>
      <c r="H16" s="433" t="b">
        <f>H15='RESULTAT NET'!G11</f>
        <v>1</v>
      </c>
      <c r="I16" s="433" t="b">
        <f>I15='RESULTAT NET'!H11</f>
        <v>1</v>
      </c>
    </row>
    <row r="17" spans="1:12" x14ac:dyDescent="0.2">
      <c r="C17" s="433"/>
      <c r="D17" s="433"/>
      <c r="E17" s="433"/>
      <c r="F17" s="433"/>
      <c r="G17" s="433"/>
      <c r="H17" s="433"/>
      <c r="I17" s="433"/>
    </row>
    <row r="18" spans="1:12" x14ac:dyDescent="0.2">
      <c r="A18" s="617" t="s">
        <v>32</v>
      </c>
      <c r="B18" s="617"/>
      <c r="C18" s="36" t="s">
        <v>23</v>
      </c>
      <c r="D18" s="615" t="s">
        <v>1</v>
      </c>
      <c r="E18" s="615"/>
      <c r="F18" s="615"/>
      <c r="G18" s="615"/>
      <c r="H18" s="615"/>
    </row>
    <row r="19" spans="1:12" x14ac:dyDescent="0.2">
      <c r="A19" s="31"/>
      <c r="B19" s="32" t="s">
        <v>0</v>
      </c>
      <c r="C19" s="36" t="str">
        <f>TableauxNote!C23</f>
        <v>2023/2022</v>
      </c>
      <c r="D19" s="125" t="str">
        <f>TableauxNote!D23</f>
        <v>2024/2023</v>
      </c>
      <c r="E19" s="125" t="str">
        <f>TableauxNote!E23</f>
        <v>2025/2024</v>
      </c>
      <c r="F19" s="125" t="str">
        <f>TableauxNote!F23</f>
        <v>2026/2025</v>
      </c>
      <c r="G19" s="125" t="str">
        <f>TableauxNote!G23</f>
        <v>2027/2026</v>
      </c>
      <c r="H19" s="125" t="str">
        <f>TableauxNote!H23</f>
        <v>2028/2027</v>
      </c>
    </row>
    <row r="20" spans="1:12" s="9" customFormat="1" x14ac:dyDescent="0.2">
      <c r="A20" s="37"/>
      <c r="B20" s="33" t="s">
        <v>3</v>
      </c>
      <c r="C20" s="38">
        <f>TableauxNote!C24</f>
        <v>5.0185464710039707E-3</v>
      </c>
      <c r="D20" s="38">
        <f>TableauxNote!D24</f>
        <v>2.8700136196205595E-2</v>
      </c>
      <c r="E20" s="38">
        <f>TableauxNote!E24</f>
        <v>3.5471169382934375E-2</v>
      </c>
      <c r="F20" s="38">
        <f>TableauxNote!F24</f>
        <v>4.0828518073918296E-2</v>
      </c>
      <c r="G20" s="38">
        <f>TableauxNote!G24</f>
        <v>3.8267806326157006E-2</v>
      </c>
      <c r="H20" s="38">
        <f>TableauxNote!H24</f>
        <v>3.8199792218163831E-2</v>
      </c>
    </row>
    <row r="21" spans="1:12" s="9" customFormat="1" x14ac:dyDescent="0.2">
      <c r="A21" s="37"/>
      <c r="B21" s="33" t="s">
        <v>33</v>
      </c>
      <c r="C21" s="38">
        <f>TableauxNote!C25</f>
        <v>3.4816104812130932E-2</v>
      </c>
      <c r="D21" s="38">
        <f>TableauxNote!D25</f>
        <v>2.1137442663110573E-2</v>
      </c>
      <c r="E21" s="38">
        <f>TableauxNote!E25</f>
        <v>2.2445571729467817E-2</v>
      </c>
      <c r="F21" s="38">
        <f>TableauxNote!F25</f>
        <v>2.3136205549555422E-2</v>
      </c>
      <c r="G21" s="38">
        <f>TableauxNote!G25</f>
        <v>2.2633786882733764E-2</v>
      </c>
      <c r="H21" s="38">
        <f>TableauxNote!H25</f>
        <v>2.2158126035972003E-2</v>
      </c>
    </row>
    <row r="22" spans="1:12" s="9" customFormat="1" x14ac:dyDescent="0.2">
      <c r="A22" s="37"/>
      <c r="B22" s="33" t="s">
        <v>5</v>
      </c>
      <c r="C22" s="38">
        <f>TableauxNote!C26</f>
        <v>-4.0603644860312205E-2</v>
      </c>
      <c r="D22" s="38">
        <f>TableauxNote!D26</f>
        <v>3.4320215905403462E-3</v>
      </c>
      <c r="E22" s="38">
        <f>TableauxNote!E26</f>
        <v>1.7668878245166164E-2</v>
      </c>
      <c r="F22" s="38">
        <f>TableauxNote!F26</f>
        <v>1.6542546609303432E-2</v>
      </c>
      <c r="G22" s="38">
        <f>TableauxNote!G26</f>
        <v>1.6808454877649703E-2</v>
      </c>
      <c r="H22" s="38">
        <f>TableauxNote!H26</f>
        <v>1.6878716413632366E-2</v>
      </c>
    </row>
    <row r="23" spans="1:12" s="9" customFormat="1" x14ac:dyDescent="0.2">
      <c r="A23" s="37"/>
      <c r="B23" s="33" t="s">
        <v>4</v>
      </c>
      <c r="C23" s="38">
        <f>TableauxNote!C27</f>
        <v>4.9439626094390121E-2</v>
      </c>
      <c r="D23" s="38">
        <f>TableauxNote!D27</f>
        <v>5.2622923502710695E-2</v>
      </c>
      <c r="E23" s="38">
        <f>TableauxNote!E27</f>
        <v>3.5964952614766288E-2</v>
      </c>
      <c r="F23" s="38">
        <f>TableauxNote!F27</f>
        <v>3.1627284472651285E-2</v>
      </c>
      <c r="G23" s="38">
        <f>TableauxNote!G27</f>
        <v>3.4434828964822639E-2</v>
      </c>
      <c r="H23" s="38">
        <f>TableauxNote!H27</f>
        <v>3.0492512522646509E-2</v>
      </c>
    </row>
    <row r="24" spans="1:12" s="9" customFormat="1" x14ac:dyDescent="0.2">
      <c r="A24" s="37"/>
      <c r="B24" s="213" t="s">
        <v>231</v>
      </c>
      <c r="C24" s="38">
        <f>TableauxNote!C28</f>
        <v>-5.0928769260039086E-3</v>
      </c>
      <c r="D24" s="38">
        <f>TableauxNote!D28</f>
        <v>8.413606625359149E-2</v>
      </c>
      <c r="E24" s="38">
        <f>TableauxNote!E28</f>
        <v>2.2044729927052531E-2</v>
      </c>
      <c r="F24" s="38">
        <f>TableauxNote!F28</f>
        <v>2.3404967281448696E-2</v>
      </c>
      <c r="G24" s="38">
        <f>TableauxNote!G28</f>
        <v>2.4968440734097763E-2</v>
      </c>
      <c r="H24" s="38">
        <f>TableauxNote!H28</f>
        <v>2.71919768279687E-2</v>
      </c>
    </row>
    <row r="25" spans="1:12" s="9" customFormat="1" ht="15" x14ac:dyDescent="0.25">
      <c r="A25" s="34" t="s">
        <v>20</v>
      </c>
      <c r="B25" s="34"/>
      <c r="C25" s="39">
        <f>TableauxNote!C29</f>
        <v>2.2774721527067943E-2</v>
      </c>
      <c r="D25" s="217">
        <f>TableauxNote!D29</f>
        <v>4.0141615604309733E-2</v>
      </c>
      <c r="E25" s="39">
        <f>TableauxNote!E29</f>
        <v>3.3399115506908883E-2</v>
      </c>
      <c r="F25" s="39">
        <f>TableauxNote!F29</f>
        <v>3.3504063315376476E-2</v>
      </c>
      <c r="G25" s="39">
        <f>TableauxNote!G29</f>
        <v>3.3922299012868473E-2</v>
      </c>
      <c r="H25" s="39">
        <f>TableauxNote!H29</f>
        <v>3.2182342230709926E-2</v>
      </c>
      <c r="I25" s="53"/>
      <c r="K25" s="614" t="s">
        <v>165</v>
      </c>
      <c r="L25" s="614"/>
    </row>
    <row r="26" spans="1:12" s="9" customFormat="1" x14ac:dyDescent="0.2">
      <c r="A26" s="37"/>
      <c r="B26" s="33" t="s">
        <v>7</v>
      </c>
      <c r="C26" s="38">
        <f>TableauxNote!C30</f>
        <v>5.0185464710037486E-3</v>
      </c>
      <c r="D26" s="38">
        <f>TableauxNote!D30</f>
        <v>2.8700136196205595E-2</v>
      </c>
      <c r="E26" s="38">
        <f>TableauxNote!E30</f>
        <v>3.5471169382934375E-2</v>
      </c>
      <c r="F26" s="38">
        <f>TableauxNote!F30</f>
        <v>4.0828518073918296E-2</v>
      </c>
      <c r="G26" s="38">
        <f>TableauxNote!G30</f>
        <v>3.8267806326157006E-2</v>
      </c>
      <c r="H26" s="38">
        <f>TableauxNote!H30</f>
        <v>3.8199792218163608E-2</v>
      </c>
      <c r="I26" s="4"/>
      <c r="K26" s="117" t="s">
        <v>131</v>
      </c>
    </row>
    <row r="27" spans="1:12" s="9" customFormat="1" x14ac:dyDescent="0.2">
      <c r="A27" s="37"/>
      <c r="B27" s="33" t="s">
        <v>34</v>
      </c>
      <c r="C27" s="38">
        <f>TableauxNote!C31</f>
        <v>3.3424529860746288E-2</v>
      </c>
      <c r="D27" s="38">
        <f>TableauxNote!D31</f>
        <v>-6.6357662573435228E-4</v>
      </c>
      <c r="E27" s="38">
        <f>TableauxNote!E31</f>
        <v>2.2971920811232449E-2</v>
      </c>
      <c r="F27" s="38">
        <f>TableauxNote!F31</f>
        <v>2.3241492972335021E-2</v>
      </c>
      <c r="G27" s="38">
        <f>TableauxNote!G31</f>
        <v>2.1840768147276091E-2</v>
      </c>
      <c r="H27" s="38">
        <f>TableauxNote!H31</f>
        <v>2.3406595923593398E-2</v>
      </c>
      <c r="I27" s="4"/>
    </row>
    <row r="28" spans="1:12" s="9" customFormat="1" x14ac:dyDescent="0.2">
      <c r="A28" s="37"/>
      <c r="B28" s="33" t="s">
        <v>9</v>
      </c>
      <c r="C28" s="38">
        <f>TableauxNote!C32</f>
        <v>-4.0603644860311983E-2</v>
      </c>
      <c r="D28" s="38">
        <f>TableauxNote!D32</f>
        <v>3.4320215905401241E-3</v>
      </c>
      <c r="E28" s="38">
        <f>TableauxNote!E32</f>
        <v>1.7668878245166164E-2</v>
      </c>
      <c r="F28" s="38">
        <f>TableauxNote!F32</f>
        <v>1.6542546609303432E-2</v>
      </c>
      <c r="G28" s="38">
        <f>TableauxNote!G32</f>
        <v>1.6808454877649925E-2</v>
      </c>
      <c r="H28" s="38">
        <f>TableauxNote!H32</f>
        <v>1.6878716413632144E-2</v>
      </c>
      <c r="I28" s="4"/>
    </row>
    <row r="29" spans="1:12" s="9" customFormat="1" x14ac:dyDescent="0.2">
      <c r="A29" s="37"/>
      <c r="B29" s="33" t="s">
        <v>8</v>
      </c>
      <c r="C29" s="38">
        <f>TableauxNote!C33</f>
        <v>4.9445349831012342E-2</v>
      </c>
      <c r="D29" s="38">
        <f>TableauxNote!D33</f>
        <v>5.2617182435414689E-2</v>
      </c>
      <c r="E29" s="38">
        <f>TableauxNote!E33</f>
        <v>3.596495261476651E-2</v>
      </c>
      <c r="F29" s="38">
        <f>TableauxNote!F33</f>
        <v>3.1627284472651285E-2</v>
      </c>
      <c r="G29" s="38">
        <f>TableauxNote!G33</f>
        <v>3.4434828964822639E-2</v>
      </c>
      <c r="H29" s="38">
        <f>TableauxNote!H33</f>
        <v>3.0492512522646509E-2</v>
      </c>
      <c r="I29" s="4"/>
    </row>
    <row r="30" spans="1:12" s="9" customFormat="1" x14ac:dyDescent="0.2">
      <c r="A30" s="37"/>
      <c r="B30" s="213" t="s">
        <v>232</v>
      </c>
      <c r="C30" s="38">
        <f>TableauxNote!C34</f>
        <v>-5.0928769260042417E-3</v>
      </c>
      <c r="D30" s="38">
        <f>TableauxNote!D34</f>
        <v>8.413606625359149E-2</v>
      </c>
      <c r="E30" s="38">
        <f>TableauxNote!E34</f>
        <v>2.2044729927052531E-2</v>
      </c>
      <c r="F30" s="38">
        <f>TableauxNote!F34</f>
        <v>2.3404967281448696E-2</v>
      </c>
      <c r="G30" s="38">
        <f>TableauxNote!G34</f>
        <v>2.4968440734097985E-2</v>
      </c>
      <c r="H30" s="38">
        <f>TableauxNote!H34</f>
        <v>2.71919768279687E-2</v>
      </c>
      <c r="I30" s="4"/>
    </row>
    <row r="31" spans="1:12" ht="15" x14ac:dyDescent="0.25">
      <c r="A31" s="34" t="s">
        <v>10</v>
      </c>
      <c r="B31" s="34"/>
      <c r="C31" s="39">
        <f>TableauxNote!C35</f>
        <v>2.2751729550209543E-2</v>
      </c>
      <c r="D31" s="217">
        <f>TableauxNote!D35</f>
        <v>3.8930383447187911E-2</v>
      </c>
      <c r="E31" s="39">
        <f>TableauxNote!E35</f>
        <v>3.3396406362335096E-2</v>
      </c>
      <c r="F31" s="39">
        <f>TableauxNote!F35</f>
        <v>3.3481776627156457E-2</v>
      </c>
      <c r="G31" s="39">
        <f>TableauxNote!G35</f>
        <v>3.3853625813726751E-2</v>
      </c>
      <c r="H31" s="39">
        <f>TableauxNote!H35</f>
        <v>3.221724814724336E-2</v>
      </c>
    </row>
    <row r="32" spans="1:12" s="15" customFormat="1" ht="15" x14ac:dyDescent="0.25">
      <c r="A32" s="595" t="s">
        <v>11</v>
      </c>
      <c r="B32" s="595"/>
      <c r="C32" s="40">
        <f>TableauxNote!C36</f>
        <v>1.678710834874475E-2</v>
      </c>
      <c r="D32" s="40">
        <f>TableauxNote!D36</f>
        <v>-0.27714007114474248</v>
      </c>
      <c r="E32" s="40">
        <f>TableauxNote!E36</f>
        <v>3.2379157969290917E-2</v>
      </c>
      <c r="F32" s="40">
        <f>TableauxNote!F36</f>
        <v>2.5105148700003355E-2</v>
      </c>
      <c r="G32" s="40">
        <f>TableauxNote!G36</f>
        <v>7.8307828504990962E-3</v>
      </c>
      <c r="H32" s="40">
        <f>TableauxNote!H36</f>
        <v>4.5786840159049547E-2</v>
      </c>
      <c r="I32" s="26"/>
    </row>
    <row r="33" spans="1:9" x14ac:dyDescent="0.2">
      <c r="C33" s="433" t="b">
        <f>C32='RESULTAT NET'!B25</f>
        <v>1</v>
      </c>
      <c r="D33" s="433" t="b">
        <f>D32='RESULTAT NET'!C25</f>
        <v>1</v>
      </c>
      <c r="E33" s="433" t="b">
        <f>E32='RESULTAT NET'!D25</f>
        <v>1</v>
      </c>
      <c r="F33" s="433" t="b">
        <f>F32='RESULTAT NET'!E25</f>
        <v>1</v>
      </c>
      <c r="G33" s="433" t="b">
        <f>G32='RESULTAT NET'!F25</f>
        <v>1</v>
      </c>
      <c r="H33" s="433" t="b">
        <f>H32='RESULTAT NET'!G25</f>
        <v>1</v>
      </c>
    </row>
    <row r="34" spans="1:9" x14ac:dyDescent="0.2">
      <c r="C34" s="202"/>
      <c r="D34" s="202"/>
      <c r="E34" s="202"/>
      <c r="F34" s="202"/>
      <c r="G34" s="202"/>
      <c r="H34" s="202"/>
      <c r="I34" s="202"/>
    </row>
    <row r="35" spans="1:9" x14ac:dyDescent="0.2">
      <c r="A35" s="5" t="s">
        <v>6</v>
      </c>
      <c r="B35" s="5"/>
      <c r="C35" s="201">
        <f t="shared" ref="C35:I35" si="3">-C8</f>
        <v>-15462.591830660002</v>
      </c>
      <c r="D35" s="201">
        <f t="shared" si="3"/>
        <v>-15814.74805369</v>
      </c>
      <c r="E35" s="201">
        <f t="shared" si="3"/>
        <v>-16449.577590940229</v>
      </c>
      <c r="F35" s="201">
        <f t="shared" si="3"/>
        <v>-16998.978932939903</v>
      </c>
      <c r="G35" s="201">
        <f t="shared" si="3"/>
        <v>-17568.513799405871</v>
      </c>
      <c r="H35" s="201">
        <f t="shared" si="3"/>
        <v>-18164.478177721023</v>
      </c>
      <c r="I35" s="201">
        <f t="shared" si="3"/>
        <v>-18749.053630878701</v>
      </c>
    </row>
    <row r="36" spans="1:9" x14ac:dyDescent="0.2">
      <c r="A36" s="5" t="s">
        <v>10</v>
      </c>
      <c r="B36" s="5"/>
      <c r="C36" s="204">
        <f t="shared" ref="C36:I36" si="4">C14</f>
        <v>15522.195876170003</v>
      </c>
      <c r="D36" s="204">
        <f t="shared" si="4"/>
        <v>15875.352678770001</v>
      </c>
      <c r="E36" s="204">
        <f t="shared" si="4"/>
        <v>16493.386245913858</v>
      </c>
      <c r="F36" s="204">
        <f t="shared" si="4"/>
        <v>17044.206075273345</v>
      </c>
      <c r="G36" s="204">
        <f t="shared" si="4"/>
        <v>17614.876375872871</v>
      </c>
      <c r="H36" s="204">
        <f t="shared" si="4"/>
        <v>18211.203809456725</v>
      </c>
      <c r="I36" s="204">
        <f t="shared" si="4"/>
        <v>18797.918681646017</v>
      </c>
    </row>
    <row r="37" spans="1:9" x14ac:dyDescent="0.2">
      <c r="B37" s="203"/>
      <c r="C37" s="204"/>
      <c r="D37" s="204"/>
      <c r="E37" s="204"/>
      <c r="F37" s="204"/>
      <c r="G37" s="204"/>
      <c r="H37" s="204"/>
      <c r="I37" s="204"/>
    </row>
    <row r="38" spans="1:9" x14ac:dyDescent="0.2">
      <c r="A38" s="5" t="s">
        <v>6</v>
      </c>
      <c r="B38" s="202"/>
      <c r="C38" s="201">
        <f>-C35</f>
        <v>15462.591830660002</v>
      </c>
      <c r="D38" s="201">
        <f t="shared" ref="D38:I38" si="5">-D35</f>
        <v>15814.74805369</v>
      </c>
      <c r="E38" s="201">
        <f t="shared" si="5"/>
        <v>16449.577590940229</v>
      </c>
      <c r="F38" s="201">
        <f t="shared" si="5"/>
        <v>16998.978932939903</v>
      </c>
      <c r="G38" s="201">
        <f t="shared" si="5"/>
        <v>17568.513799405871</v>
      </c>
      <c r="H38" s="201">
        <f t="shared" si="5"/>
        <v>18164.478177721023</v>
      </c>
      <c r="I38" s="201">
        <f t="shared" si="5"/>
        <v>18749.053630878701</v>
      </c>
    </row>
    <row r="41" spans="1:9" x14ac:dyDescent="0.2">
      <c r="A41" s="31"/>
      <c r="B41" s="32" t="s">
        <v>2</v>
      </c>
      <c r="C41" s="35">
        <f t="shared" ref="C41:H41" si="6">D2</f>
        <v>2023</v>
      </c>
      <c r="D41" s="35" t="str">
        <f t="shared" si="6"/>
        <v>2024(p)</v>
      </c>
      <c r="E41" s="35" t="str">
        <f t="shared" si="6"/>
        <v>2025(p)</v>
      </c>
      <c r="F41" s="35" t="str">
        <f t="shared" si="6"/>
        <v>2026(p)</v>
      </c>
      <c r="G41" s="35" t="str">
        <f t="shared" si="6"/>
        <v>2027(p)</v>
      </c>
      <c r="H41" s="35" t="str">
        <f t="shared" si="6"/>
        <v>2028(p)</v>
      </c>
    </row>
    <row r="42" spans="1:9" x14ac:dyDescent="0.2">
      <c r="A42" s="33"/>
      <c r="B42" s="33" t="s">
        <v>3</v>
      </c>
      <c r="C42" s="45">
        <f t="shared" ref="C42:D47" si="7">(C3/$D$8)*C20*100</f>
        <v>0.19378279385772423</v>
      </c>
      <c r="D42" s="45">
        <f t="shared" si="7"/>
        <v>1.1137694388782189</v>
      </c>
      <c r="E42" s="45">
        <f t="shared" ref="E42:E47" si="8">(E3/$E$8)*E20*100</f>
        <v>1.3613919244375727</v>
      </c>
      <c r="F42" s="45">
        <f t="shared" ref="F42:F47" si="9">(F3/$F$8)*F20*100</f>
        <v>1.5701502284061388</v>
      </c>
      <c r="G42" s="45">
        <f t="shared" ref="G42:G47" si="10">(G3/$G$8)*G20*100</f>
        <v>1.4821021995988446</v>
      </c>
      <c r="H42" s="45">
        <f t="shared" ref="H42:H47" si="11">(H3/$H$8)*H20*100</f>
        <v>1.4856861375357766</v>
      </c>
    </row>
    <row r="43" spans="1:9" x14ac:dyDescent="0.2">
      <c r="A43" s="33"/>
      <c r="B43" s="33" t="s">
        <v>78</v>
      </c>
      <c r="C43" s="45">
        <f t="shared" si="7"/>
        <v>0.16312430196433372</v>
      </c>
      <c r="D43" s="45">
        <f t="shared" si="7"/>
        <v>0.10248353723209057</v>
      </c>
      <c r="E43" s="45">
        <f t="shared" si="8"/>
        <v>0.10683758554045281</v>
      </c>
      <c r="F43" s="45">
        <f t="shared" si="9"/>
        <v>0.10895762782356351</v>
      </c>
      <c r="G43" s="45">
        <f t="shared" si="10"/>
        <v>0.10552223775039833</v>
      </c>
      <c r="H43" s="45">
        <f t="shared" si="11"/>
        <v>0.10217673802303544</v>
      </c>
    </row>
    <row r="44" spans="1:9" x14ac:dyDescent="0.2">
      <c r="A44" s="33"/>
      <c r="B44" s="33" t="s">
        <v>5</v>
      </c>
      <c r="C44" s="45">
        <f t="shared" si="7"/>
        <v>-0.26278244913489662</v>
      </c>
      <c r="D44" s="45">
        <f t="shared" si="7"/>
        <v>2.1309801822692258E-2</v>
      </c>
      <c r="E44" s="45">
        <f t="shared" si="8"/>
        <v>0.10583610808296831</v>
      </c>
      <c r="F44" s="45">
        <f t="shared" si="9"/>
        <v>9.7581088418692494E-2</v>
      </c>
      <c r="G44" s="45">
        <f t="shared" si="10"/>
        <v>9.752241683077402E-2</v>
      </c>
      <c r="H44" s="45">
        <f t="shared" si="11"/>
        <v>9.6309100382938689E-2</v>
      </c>
    </row>
    <row r="45" spans="1:9" x14ac:dyDescent="0.2">
      <c r="A45" s="33"/>
      <c r="B45" s="33" t="s">
        <v>4</v>
      </c>
      <c r="C45" s="45">
        <f t="shared" si="7"/>
        <v>2.1551039206753262</v>
      </c>
      <c r="D45" s="45">
        <f t="shared" si="7"/>
        <v>2.4072736949593501</v>
      </c>
      <c r="E45" s="45">
        <f t="shared" si="8"/>
        <v>1.6649850628661917</v>
      </c>
      <c r="F45" s="45">
        <f t="shared" si="9"/>
        <v>1.4678096269454597</v>
      </c>
      <c r="G45" s="45">
        <f t="shared" si="10"/>
        <v>1.5952045824224315</v>
      </c>
      <c r="H45" s="45">
        <f t="shared" si="11"/>
        <v>1.4132757326493632</v>
      </c>
    </row>
    <row r="46" spans="1:9" x14ac:dyDescent="0.2">
      <c r="A46" s="33"/>
      <c r="B46" s="33" t="str">
        <f>B24</f>
        <v>Charges SASPA</v>
      </c>
      <c r="C46" s="45">
        <f t="shared" si="7"/>
        <v>-2.2470216015681933E-2</v>
      </c>
      <c r="D46" s="45">
        <f t="shared" si="7"/>
        <v>0.36932508753860988</v>
      </c>
      <c r="E46" s="45">
        <f t="shared" si="8"/>
        <v>0.1008608697637183</v>
      </c>
      <c r="F46" s="45">
        <f t="shared" si="9"/>
        <v>0.10590775994378479</v>
      </c>
      <c r="G46" s="45">
        <f t="shared" si="10"/>
        <v>0.11187846468438933</v>
      </c>
      <c r="H46" s="45">
        <f t="shared" si="11"/>
        <v>0.12078651447986662</v>
      </c>
    </row>
    <row r="47" spans="1:9" ht="15" x14ac:dyDescent="0.2">
      <c r="A47" s="73" t="s">
        <v>20</v>
      </c>
      <c r="B47" s="73"/>
      <c r="C47" s="43">
        <f t="shared" si="7"/>
        <v>2.2267583513467981</v>
      </c>
      <c r="D47" s="43">
        <f t="shared" si="7"/>
        <v>4.0141615604309733</v>
      </c>
      <c r="E47" s="43">
        <f t="shared" si="8"/>
        <v>3.3399115506908883</v>
      </c>
      <c r="F47" s="43">
        <f t="shared" si="9"/>
        <v>3.3504063315376476</v>
      </c>
      <c r="G47" s="43">
        <f t="shared" si="10"/>
        <v>3.3922299012868473</v>
      </c>
      <c r="H47" s="43">
        <f t="shared" si="11"/>
        <v>3.2182342230709926</v>
      </c>
    </row>
    <row r="48" spans="1:9" x14ac:dyDescent="0.2">
      <c r="A48" s="33"/>
      <c r="B48" s="33" t="s">
        <v>7</v>
      </c>
      <c r="C48" s="45">
        <f t="shared" ref="C48:D53" si="12">(C9/$D$14)*C26*100</f>
        <v>0.19304302235113319</v>
      </c>
      <c r="D48" s="45">
        <f t="shared" si="12"/>
        <v>1.1095175913360193</v>
      </c>
      <c r="E48" s="45">
        <f t="shared" ref="E48:E53" si="13">(E9/$E$14)*E26*100</f>
        <v>1.3577758841525556</v>
      </c>
      <c r="F48" s="45">
        <f t="shared" ref="F48:F53" si="14">(F9/$F$14)*F26*100</f>
        <v>1.5659838033141522</v>
      </c>
      <c r="G48" s="45">
        <f t="shared" ref="G48:G53" si="15">(G9/$G$14)*G26*100</f>
        <v>1.4782012879435729</v>
      </c>
      <c r="H48" s="45">
        <f t="shared" ref="H48:H53" si="16">(H9/$H$14)*H26*100</f>
        <v>1.4818742191110625</v>
      </c>
    </row>
    <row r="49" spans="1:8" x14ac:dyDescent="0.2">
      <c r="A49" s="33"/>
      <c r="B49" s="33" t="s">
        <v>79</v>
      </c>
      <c r="C49" s="45">
        <f t="shared" si="12"/>
        <v>0.16855574481683344</v>
      </c>
      <c r="D49" s="45">
        <f t="shared" si="12"/>
        <v>-3.4581840020370359E-3</v>
      </c>
      <c r="E49" s="45">
        <f t="shared" si="13"/>
        <v>0.11515415092082452</v>
      </c>
      <c r="F49" s="45">
        <f t="shared" si="14"/>
        <v>0.11533020808539091</v>
      </c>
      <c r="G49" s="45">
        <f t="shared" si="15"/>
        <v>0.10730557380018141</v>
      </c>
      <c r="H49" s="45">
        <f t="shared" si="16"/>
        <v>0.11366239447480947</v>
      </c>
    </row>
    <row r="50" spans="1:8" x14ac:dyDescent="0.2">
      <c r="A50" s="33"/>
      <c r="B50" s="33" t="s">
        <v>9</v>
      </c>
      <c r="C50" s="45">
        <f t="shared" si="12"/>
        <v>-0.26177926941790386</v>
      </c>
      <c r="D50" s="45">
        <f t="shared" si="12"/>
        <v>2.1228451028404562E-2</v>
      </c>
      <c r="E50" s="45">
        <f t="shared" si="13"/>
        <v>0.10555499312733525</v>
      </c>
      <c r="F50" s="45">
        <f t="shared" si="14"/>
        <v>9.7322155045352965E-2</v>
      </c>
      <c r="G50" s="45">
        <f t="shared" si="15"/>
        <v>9.7265736601457528E-2</v>
      </c>
      <c r="H50" s="45">
        <f t="shared" si="16"/>
        <v>9.6061994062873468E-2</v>
      </c>
    </row>
    <row r="51" spans="1:8" x14ac:dyDescent="0.2">
      <c r="A51" s="33"/>
      <c r="B51" s="33" t="s">
        <v>8</v>
      </c>
      <c r="C51" s="45">
        <f t="shared" si="12"/>
        <v>2.1471252969128289</v>
      </c>
      <c r="D51" s="45">
        <f t="shared" si="12"/>
        <v>2.3978353081858339</v>
      </c>
      <c r="E51" s="45">
        <f t="shared" si="13"/>
        <v>1.6605626383217318</v>
      </c>
      <c r="F51" s="45">
        <f t="shared" si="14"/>
        <v>1.4639147646900352</v>
      </c>
      <c r="G51" s="45">
        <f t="shared" si="15"/>
        <v>1.5910059838711317</v>
      </c>
      <c r="H51" s="45">
        <f t="shared" si="16"/>
        <v>1.4096496021576224</v>
      </c>
    </row>
    <row r="52" spans="1:8" x14ac:dyDescent="0.2">
      <c r="A52" s="33"/>
      <c r="B52" s="33" t="str">
        <f>B30</f>
        <v>Produits SASPA</v>
      </c>
      <c r="C52" s="45">
        <f t="shared" si="12"/>
        <v>-2.2384435306136201E-2</v>
      </c>
      <c r="D52" s="45">
        <f t="shared" si="12"/>
        <v>0.36791517817055858</v>
      </c>
      <c r="E52" s="45">
        <f t="shared" si="13"/>
        <v>0.10059296971105852</v>
      </c>
      <c r="F52" s="45">
        <f t="shared" si="14"/>
        <v>0.10562673158071294</v>
      </c>
      <c r="G52" s="45">
        <f t="shared" si="15"/>
        <v>0.11158399915631854</v>
      </c>
      <c r="H52" s="45">
        <f t="shared" si="16"/>
        <v>0.12047660491796856</v>
      </c>
    </row>
    <row r="53" spans="1:8" ht="15" x14ac:dyDescent="0.2">
      <c r="A53" s="73" t="s">
        <v>10</v>
      </c>
      <c r="B53" s="73"/>
      <c r="C53" s="43">
        <f t="shared" si="12"/>
        <v>2.2245603593567522</v>
      </c>
      <c r="D53" s="43">
        <f t="shared" si="12"/>
        <v>3.8930383447187911</v>
      </c>
      <c r="E53" s="43">
        <f t="shared" si="13"/>
        <v>3.3396406362335096</v>
      </c>
      <c r="F53" s="43">
        <f t="shared" si="14"/>
        <v>3.3481776627156457</v>
      </c>
      <c r="G53" s="43">
        <f t="shared" si="15"/>
        <v>3.3853625813726751</v>
      </c>
      <c r="H53" s="43">
        <f t="shared" si="16"/>
        <v>3.221724814724336</v>
      </c>
    </row>
  </sheetData>
  <mergeCells count="9">
    <mergeCell ref="K2:L2"/>
    <mergeCell ref="D18:H18"/>
    <mergeCell ref="E1:I1"/>
    <mergeCell ref="A15:B15"/>
    <mergeCell ref="A32:B32"/>
    <mergeCell ref="C1:D1"/>
    <mergeCell ref="A1:B1"/>
    <mergeCell ref="A18:B18"/>
    <mergeCell ref="K25:L25"/>
  </mergeCells>
  <phoneticPr fontId="4" type="noConversion"/>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Prévisions SA</vt:lpstr>
      <vt:lpstr>Glossaire</vt:lpstr>
      <vt:lpstr>Effectifs</vt:lpstr>
      <vt:lpstr>TableauxNote</vt:lpstr>
      <vt:lpstr>Détail CHG PDT</vt:lpstr>
      <vt:lpstr>RESULTAT NET</vt:lpstr>
      <vt:lpstr>RETRAITE</vt:lpstr>
      <vt:lpstr>TCDC SA (Charges)</vt:lpstr>
      <vt:lpstr>CHARGES_PRODUITS</vt:lpstr>
      <vt:lpstr>Prest._cotisa.</vt:lpstr>
      <vt:lpstr>SOLDES</vt:lpstr>
      <vt:lpstr>Masse Salariale</vt:lpstr>
    </vt:vector>
  </TitlesOfParts>
  <Company>GETIMA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guerin.vanessa@MSAInstitution.onmicrosoft.com</dc:creator>
  <cp:lastModifiedBy>Claudine Gaillard</cp:lastModifiedBy>
  <dcterms:created xsi:type="dcterms:W3CDTF">2008-09-30T09:54:10Z</dcterms:created>
  <dcterms:modified xsi:type="dcterms:W3CDTF">2025-02-04T08:52:30Z</dcterms:modified>
</cp:coreProperties>
</file>