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21-STATISTIQUES\01_STATS_MISSION_SYNTHESES\12 COMITES DE LECTURE\SY financement réalisations NSA - 14 juin\A diffuser\"/>
    </mc:Choice>
  </mc:AlternateContent>
  <xr:revisionPtr revIDLastSave="0" documentId="13_ncr:1_{BC67910B-2D57-4716-BC34-8FB7532FF0C6}" xr6:coauthVersionLast="47" xr6:coauthVersionMax="47" xr10:uidLastSave="{00000000-0000-0000-0000-000000000000}"/>
  <bookViews>
    <workbookView xWindow="-120" yWindow="-120" windowWidth="25440" windowHeight="15390" tabRatio="758" xr2:uid="{00000000-000D-0000-FFFF-FFFF00000000}"/>
  </bookViews>
  <sheets>
    <sheet name="Feuil1" sheetId="13" r:id="rId1"/>
    <sheet name="COMPTES NSA (Chiffres Utiles)" sheetId="5" r:id="rId2"/>
    <sheet name="NSA1" sheetId="1" r:id="rId3"/>
    <sheet name="Effectifs" sheetId="2" r:id="rId4"/>
    <sheet name="%charges" sheetId="6" r:id="rId5"/>
    <sheet name="%produits" sheetId="7" r:id="rId6"/>
    <sheet name="%produitsRetraite" sheetId="11" state="hidden" r:id="rId7"/>
    <sheet name="%produitsRCO" sheetId="12" state="hidden" r:id="rId8"/>
    <sheet name="Résultat net" sheetId="9" r:id="rId9"/>
    <sheet name="Charges techniques" sheetId="10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1">'COMPTES NSA (Chiffres Utiles)'!$A$1:$L$58,'COMPTES NSA (Chiffres Utiles)'!$N$1:$Y$78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1" l="1"/>
  <c r="B40" i="1"/>
  <c r="C27" i="9" l="1"/>
  <c r="B27" i="9"/>
  <c r="C26" i="9"/>
  <c r="B26" i="9"/>
  <c r="D26" i="9" l="1"/>
  <c r="E27" i="2"/>
  <c r="E26" i="2"/>
  <c r="E25" i="2"/>
  <c r="G27" i="2"/>
  <c r="G26" i="2"/>
  <c r="G25" i="2"/>
  <c r="H10" i="2"/>
  <c r="G10" i="2"/>
  <c r="H9" i="2"/>
  <c r="G9" i="2"/>
  <c r="H6" i="2"/>
  <c r="G6" i="2"/>
  <c r="H7" i="2" l="1"/>
  <c r="G7" i="2"/>
  <c r="H4" i="2"/>
  <c r="G4" i="2"/>
  <c r="H5" i="2"/>
  <c r="G5" i="2"/>
  <c r="C17" i="1" l="1"/>
  <c r="B17" i="1"/>
  <c r="C16" i="1"/>
  <c r="B16" i="1"/>
  <c r="C15" i="1"/>
  <c r="B15" i="1"/>
  <c r="C14" i="1"/>
  <c r="B14" i="1"/>
  <c r="C13" i="1"/>
  <c r="B13" i="1"/>
  <c r="C9" i="1"/>
  <c r="B9" i="1"/>
  <c r="C8" i="1"/>
  <c r="B8" i="1"/>
  <c r="C7" i="1"/>
  <c r="B7" i="1"/>
  <c r="C6" i="1"/>
  <c r="B6" i="1"/>
  <c r="C5" i="1"/>
  <c r="B5" i="1"/>
  <c r="C12" i="1"/>
  <c r="B12" i="1"/>
  <c r="C4" i="1"/>
  <c r="B4" i="1"/>
  <c r="C45" i="1"/>
  <c r="B45" i="1"/>
  <c r="C49" i="1"/>
  <c r="B49" i="1"/>
  <c r="C46" i="1"/>
  <c r="B46" i="1"/>
  <c r="C47" i="1"/>
  <c r="B47" i="1"/>
  <c r="C42" i="1"/>
  <c r="B42" i="1"/>
  <c r="C31" i="1"/>
  <c r="B31" i="1"/>
  <c r="C3" i="7"/>
  <c r="C30" i="1"/>
  <c r="B30" i="1"/>
  <c r="C48" i="1"/>
  <c r="B48" i="1"/>
  <c r="C33" i="1"/>
  <c r="B33" i="1"/>
  <c r="C28" i="1"/>
  <c r="B28" i="1"/>
  <c r="R55" i="5" l="1"/>
  <c r="Q55" i="5"/>
  <c r="P55" i="5"/>
  <c r="O55" i="5"/>
  <c r="R48" i="5"/>
  <c r="Q48" i="5"/>
  <c r="P48" i="5"/>
  <c r="O48" i="5"/>
  <c r="Q69" i="5"/>
  <c r="P69" i="5"/>
  <c r="O69" i="5"/>
  <c r="R62" i="5"/>
  <c r="Q62" i="5"/>
  <c r="P62" i="5"/>
  <c r="E51" i="5"/>
  <c r="C51" i="5"/>
  <c r="B51" i="5"/>
  <c r="E44" i="5"/>
  <c r="D44" i="5"/>
  <c r="C44" i="5"/>
  <c r="B44" i="5"/>
  <c r="R41" i="5"/>
  <c r="Q41" i="5"/>
  <c r="P41" i="5"/>
  <c r="O41" i="5"/>
  <c r="E37" i="5"/>
  <c r="D37" i="5"/>
  <c r="B37" i="5"/>
  <c r="E30" i="5"/>
  <c r="D30" i="5"/>
  <c r="C30" i="5"/>
  <c r="B30" i="5"/>
  <c r="R27" i="5"/>
  <c r="Q27" i="5"/>
  <c r="P27" i="5"/>
  <c r="O27" i="5"/>
  <c r="D21" i="5"/>
  <c r="C21" i="5"/>
  <c r="B21" i="5"/>
  <c r="R20" i="5"/>
  <c r="Q20" i="5"/>
  <c r="P20" i="5"/>
  <c r="O20" i="5"/>
  <c r="E14" i="5"/>
  <c r="D14" i="5"/>
  <c r="C14" i="5"/>
  <c r="B14" i="5"/>
  <c r="R13" i="5"/>
  <c r="Q13" i="5"/>
  <c r="P13" i="5"/>
  <c r="E7" i="5"/>
  <c r="D7" i="5"/>
  <c r="C7" i="5"/>
  <c r="B7" i="5"/>
  <c r="R6" i="5"/>
  <c r="P6" i="5"/>
  <c r="O6" i="5"/>
  <c r="C37" i="5" l="1"/>
  <c r="D51" i="5"/>
  <c r="O62" i="5"/>
  <c r="R69" i="5"/>
  <c r="Q6" i="5"/>
  <c r="O13" i="5"/>
  <c r="E21" i="5"/>
  <c r="I1" i="7" l="1"/>
  <c r="E24" i="2"/>
  <c r="G24" i="2" l="1"/>
  <c r="Q21" i="5" l="1"/>
  <c r="R21" i="5"/>
  <c r="Q22" i="5"/>
  <c r="R22" i="5"/>
  <c r="Q23" i="5"/>
  <c r="R23" i="5"/>
  <c r="Q24" i="5"/>
  <c r="R24" i="5"/>
  <c r="H27" i="2" l="1"/>
  <c r="H26" i="2"/>
  <c r="H25" i="2"/>
  <c r="I16" i="1" l="1"/>
  <c r="Q33" i="5" l="1"/>
  <c r="R33" i="5"/>
  <c r="G21" i="2"/>
  <c r="E12" i="1" l="1"/>
  <c r="G20" i="2" l="1"/>
  <c r="G18" i="2" l="1"/>
  <c r="G17" i="2" l="1"/>
  <c r="G16" i="2" l="1"/>
  <c r="G15" i="2"/>
  <c r="F27" i="2"/>
  <c r="F25" i="2"/>
  <c r="F26" i="2"/>
  <c r="H24" i="2"/>
  <c r="C10" i="11" l="1"/>
  <c r="H16" i="1" l="1"/>
  <c r="C11" i="1" l="1"/>
  <c r="D25" i="2"/>
  <c r="D26" i="2"/>
  <c r="D27" i="2"/>
  <c r="B24" i="2"/>
  <c r="C24" i="2"/>
  <c r="F24" i="2" s="1"/>
  <c r="F21" i="2"/>
  <c r="J16" i="1" l="1"/>
  <c r="D24" i="2"/>
  <c r="B42" i="7" l="1"/>
  <c r="B43" i="7"/>
  <c r="B15" i="9" l="1"/>
  <c r="B9" i="9"/>
  <c r="F20" i="2" l="1"/>
  <c r="F17" i="2" l="1"/>
  <c r="F18" i="2"/>
  <c r="F16" i="2"/>
  <c r="F15" i="2"/>
  <c r="C19" i="1"/>
  <c r="B3" i="1" l="1"/>
  <c r="F3" i="5"/>
  <c r="G3" i="5" s="1"/>
  <c r="H3" i="5" s="1"/>
  <c r="I3" i="5" s="1"/>
  <c r="C5" i="9" l="1"/>
  <c r="C8" i="9"/>
  <c r="C6" i="9"/>
  <c r="C9" i="9"/>
  <c r="C42" i="7"/>
  <c r="C10" i="9" l="1"/>
  <c r="D16" i="2"/>
  <c r="D17" i="2" l="1"/>
  <c r="E20" i="2" l="1"/>
  <c r="E15" i="2" l="1"/>
  <c r="C3" i="2" l="1"/>
  <c r="D3" i="2" s="1"/>
  <c r="E3" i="2" s="1"/>
  <c r="F3" i="2" s="1"/>
  <c r="G3" i="2" s="1"/>
  <c r="H3" i="2" s="1"/>
  <c r="C3" i="1" l="1"/>
  <c r="C7" i="12"/>
  <c r="B7" i="12"/>
  <c r="E8" i="12"/>
  <c r="E3" i="12"/>
  <c r="E7" i="12" l="1"/>
  <c r="E4" i="12"/>
  <c r="E8" i="11" l="1"/>
  <c r="E3" i="11"/>
  <c r="C7" i="11" l="1"/>
  <c r="B7" i="11"/>
  <c r="E7" i="11" l="1"/>
  <c r="C9" i="12" l="1"/>
  <c r="B9" i="12"/>
  <c r="Y38" i="5"/>
  <c r="X38" i="5"/>
  <c r="W38" i="5"/>
  <c r="Y37" i="5"/>
  <c r="X37" i="5"/>
  <c r="W37" i="5"/>
  <c r="Y36" i="5"/>
  <c r="X36" i="5"/>
  <c r="W36" i="5"/>
  <c r="E9" i="12" l="1"/>
  <c r="P33" i="5"/>
  <c r="W35" i="5"/>
  <c r="W34" i="5"/>
  <c r="O33" i="5"/>
  <c r="B2" i="11"/>
  <c r="B9" i="11"/>
  <c r="B2" i="12"/>
  <c r="X35" i="5"/>
  <c r="B44" i="12" l="1"/>
  <c r="B5" i="12"/>
  <c r="B10" i="12"/>
  <c r="B45" i="12"/>
  <c r="B42" i="12"/>
  <c r="B43" i="12"/>
  <c r="W33" i="5"/>
  <c r="B39" i="11"/>
  <c r="B41" i="11"/>
  <c r="B5" i="11"/>
  <c r="B40" i="11"/>
  <c r="B10" i="11"/>
  <c r="B38" i="11"/>
  <c r="B12" i="9"/>
  <c r="X34" i="5"/>
  <c r="X33" i="5"/>
  <c r="F3" i="12" l="1"/>
  <c r="F7" i="12"/>
  <c r="F8" i="12"/>
  <c r="B6" i="12"/>
  <c r="F4" i="12"/>
  <c r="F9" i="12"/>
  <c r="F8" i="11"/>
  <c r="F3" i="11"/>
  <c r="F7" i="11"/>
  <c r="C11" i="10" l="1"/>
  <c r="D6" i="10" s="1"/>
  <c r="B11" i="10"/>
  <c r="D3" i="10" l="1"/>
  <c r="D7" i="10"/>
  <c r="D2" i="10"/>
  <c r="D5" i="10"/>
  <c r="D9" i="10"/>
  <c r="D4" i="10"/>
  <c r="D10" i="10"/>
  <c r="D8" i="10"/>
  <c r="D11" i="10" l="1"/>
  <c r="C7" i="7"/>
  <c r="B4" i="7"/>
  <c r="C4" i="7"/>
  <c r="A21" i="2" l="1"/>
  <c r="C28" i="9" l="1"/>
  <c r="B28" i="9"/>
  <c r="D28" i="9" l="1"/>
  <c r="D27" i="9"/>
  <c r="B44" i="7" l="1"/>
  <c r="B45" i="7"/>
  <c r="C1" i="9" l="1"/>
  <c r="B1" i="9"/>
  <c r="B16" i="2" l="1"/>
  <c r="C16" i="2"/>
  <c r="E16" i="2"/>
  <c r="B17" i="2"/>
  <c r="C17" i="2"/>
  <c r="E17" i="2"/>
  <c r="B18" i="2"/>
  <c r="C18" i="2"/>
  <c r="D18" i="2"/>
  <c r="E18" i="2"/>
  <c r="B20" i="2"/>
  <c r="C20" i="2"/>
  <c r="D20" i="2"/>
  <c r="B21" i="2"/>
  <c r="C21" i="2"/>
  <c r="D21" i="2"/>
  <c r="E21" i="2"/>
  <c r="C15" i="2"/>
  <c r="D15" i="2"/>
  <c r="B15" i="2"/>
  <c r="C3" i="5" l="1"/>
  <c r="D3" i="5" s="1"/>
  <c r="N13" i="5"/>
  <c r="N20" i="5" s="1"/>
  <c r="A14" i="5"/>
  <c r="A21" i="5" s="1"/>
  <c r="A30" i="5" s="1"/>
  <c r="A37" i="5" s="1"/>
  <c r="A44" i="5" s="1"/>
  <c r="A51" i="5" s="1"/>
  <c r="N27" i="5" l="1"/>
  <c r="N41" i="5" s="1"/>
  <c r="N48" i="5" s="1"/>
  <c r="N55" i="5" s="1"/>
  <c r="N62" i="5" s="1"/>
  <c r="N69" i="5" s="1"/>
  <c r="N34" i="5"/>
  <c r="B1" i="6"/>
  <c r="E3" i="5"/>
  <c r="B8" i="9"/>
  <c r="B10" i="9" s="1"/>
  <c r="B11" i="9"/>
  <c r="B14" i="9"/>
  <c r="B5" i="9"/>
  <c r="B1" i="12" l="1"/>
  <c r="B40" i="12" s="1"/>
  <c r="B1" i="11"/>
  <c r="B36" i="11" s="1"/>
  <c r="B1" i="7"/>
  <c r="B40" i="7" s="1"/>
  <c r="C1" i="6"/>
  <c r="B6" i="9"/>
  <c r="B7" i="9" s="1"/>
  <c r="B16" i="9"/>
  <c r="B13" i="9"/>
  <c r="C1" i="12" l="1"/>
  <c r="C40" i="12" s="1"/>
  <c r="C1" i="11"/>
  <c r="C36" i="11" s="1"/>
  <c r="C1" i="7"/>
  <c r="C40" i="7" s="1"/>
  <c r="B3" i="7"/>
  <c r="B7" i="7" l="1"/>
  <c r="B41" i="6" l="1"/>
  <c r="B39" i="6"/>
  <c r="B42" i="6"/>
  <c r="B40" i="6"/>
  <c r="C37" i="6"/>
  <c r="B37" i="6"/>
  <c r="W73" i="5" l="1"/>
  <c r="X73" i="5"/>
  <c r="X72" i="5"/>
  <c r="W71" i="5"/>
  <c r="W70" i="5"/>
  <c r="X66" i="5"/>
  <c r="W66" i="5"/>
  <c r="X65" i="5"/>
  <c r="W65" i="5"/>
  <c r="X64" i="5"/>
  <c r="W64" i="5"/>
  <c r="X63" i="5"/>
  <c r="W63" i="5"/>
  <c r="X59" i="5"/>
  <c r="W59" i="5"/>
  <c r="X58" i="5"/>
  <c r="W58" i="5"/>
  <c r="X57" i="5"/>
  <c r="W57" i="5"/>
  <c r="X56" i="5"/>
  <c r="W56" i="5"/>
  <c r="X52" i="5"/>
  <c r="W52" i="5"/>
  <c r="X51" i="5"/>
  <c r="W51" i="5"/>
  <c r="X50" i="5"/>
  <c r="W50" i="5"/>
  <c r="X49" i="5"/>
  <c r="W49" i="5"/>
  <c r="X45" i="5"/>
  <c r="W45" i="5"/>
  <c r="X44" i="5"/>
  <c r="W44" i="5"/>
  <c r="X43" i="5"/>
  <c r="W43" i="5"/>
  <c r="X42" i="5"/>
  <c r="W42" i="5"/>
  <c r="X31" i="5"/>
  <c r="W31" i="5"/>
  <c r="X30" i="5"/>
  <c r="W30" i="5"/>
  <c r="Y29" i="5"/>
  <c r="X29" i="5"/>
  <c r="W29" i="5"/>
  <c r="Y28" i="5"/>
  <c r="X28" i="5"/>
  <c r="W28" i="5"/>
  <c r="Y24" i="5"/>
  <c r="X24" i="5"/>
  <c r="W24" i="5"/>
  <c r="Y23" i="5"/>
  <c r="X23" i="5"/>
  <c r="W23" i="5"/>
  <c r="Y22" i="5"/>
  <c r="X22" i="5"/>
  <c r="W22" i="5"/>
  <c r="Y21" i="5"/>
  <c r="X21" i="5"/>
  <c r="W21" i="5"/>
  <c r="X17" i="5"/>
  <c r="W17" i="5"/>
  <c r="Y16" i="5"/>
  <c r="X16" i="5"/>
  <c r="W16" i="5"/>
  <c r="Y15" i="5"/>
  <c r="X15" i="5"/>
  <c r="W15" i="5"/>
  <c r="X14" i="5"/>
  <c r="W14" i="5"/>
  <c r="X10" i="5"/>
  <c r="W10" i="5"/>
  <c r="X9" i="5"/>
  <c r="W9" i="5"/>
  <c r="X8" i="5"/>
  <c r="W8" i="5"/>
  <c r="X7" i="5"/>
  <c r="W7" i="5"/>
  <c r="R3" i="5"/>
  <c r="V3" i="5" s="1"/>
  <c r="Y3" i="5" s="1"/>
  <c r="Q3" i="5"/>
  <c r="U3" i="5" s="1"/>
  <c r="X3" i="5" s="1"/>
  <c r="P3" i="5"/>
  <c r="T3" i="5" s="1"/>
  <c r="W3" i="5" s="1"/>
  <c r="O3" i="5"/>
  <c r="S3" i="5" s="1"/>
  <c r="K55" i="5"/>
  <c r="J55" i="5"/>
  <c r="K54" i="5"/>
  <c r="J54" i="5"/>
  <c r="K53" i="5"/>
  <c r="J53" i="5"/>
  <c r="K52" i="5"/>
  <c r="J52" i="5"/>
  <c r="K48" i="5"/>
  <c r="J48" i="5"/>
  <c r="K47" i="5"/>
  <c r="J47" i="5"/>
  <c r="K46" i="5"/>
  <c r="J46" i="5"/>
  <c r="K45" i="5"/>
  <c r="J45" i="5"/>
  <c r="K41" i="5"/>
  <c r="J41" i="5"/>
  <c r="K40" i="5"/>
  <c r="J40" i="5"/>
  <c r="K39" i="5"/>
  <c r="J39" i="5"/>
  <c r="K38" i="5"/>
  <c r="J38" i="5"/>
  <c r="K34" i="5"/>
  <c r="J34" i="5"/>
  <c r="K33" i="5"/>
  <c r="J33" i="5"/>
  <c r="K32" i="5"/>
  <c r="J32" i="5"/>
  <c r="K31" i="5"/>
  <c r="J31" i="5"/>
  <c r="K25" i="5"/>
  <c r="J25" i="5"/>
  <c r="K24" i="5"/>
  <c r="J24" i="5"/>
  <c r="K23" i="5"/>
  <c r="J23" i="5"/>
  <c r="K22" i="5"/>
  <c r="J22" i="5"/>
  <c r="K18" i="5"/>
  <c r="J18" i="5"/>
  <c r="K17" i="5"/>
  <c r="J17" i="5"/>
  <c r="K16" i="5"/>
  <c r="J16" i="5"/>
  <c r="K15" i="5"/>
  <c r="J15" i="5"/>
  <c r="K11" i="5"/>
  <c r="J11" i="5"/>
  <c r="K10" i="5"/>
  <c r="J10" i="5"/>
  <c r="K9" i="5"/>
  <c r="J9" i="5"/>
  <c r="K8" i="5"/>
  <c r="J8" i="5"/>
  <c r="L3" i="5"/>
  <c r="K3" i="5"/>
  <c r="J3" i="5"/>
  <c r="X70" i="5" l="1"/>
  <c r="X71" i="5"/>
  <c r="W72" i="5"/>
  <c r="E3" i="7" l="1"/>
  <c r="C4" i="11"/>
  <c r="B19" i="1"/>
  <c r="B4" i="11" s="1"/>
  <c r="B6" i="11" l="1"/>
  <c r="E4" i="11"/>
  <c r="F4" i="11" s="1"/>
  <c r="E19" i="1"/>
  <c r="E4" i="7"/>
  <c r="E7" i="7"/>
  <c r="E15" i="1" l="1"/>
  <c r="E16" i="1"/>
  <c r="E17" i="1"/>
  <c r="E13" i="1" l="1"/>
  <c r="B11" i="1" l="1"/>
  <c r="E11" i="1" s="1"/>
  <c r="B5" i="7" l="1"/>
  <c r="F17" i="1"/>
  <c r="F15" i="1"/>
  <c r="F13" i="1"/>
  <c r="F12" i="1"/>
  <c r="F16" i="1"/>
  <c r="E14" i="1"/>
  <c r="F14" i="1" s="1"/>
  <c r="D14" i="1"/>
  <c r="L16" i="1" l="1"/>
  <c r="D12" i="1"/>
  <c r="C5" i="7"/>
  <c r="F11" i="1"/>
  <c r="D15" i="1"/>
  <c r="D16" i="1"/>
  <c r="D17" i="1"/>
  <c r="D13" i="1"/>
  <c r="K16" i="1"/>
  <c r="E5" i="7" l="1"/>
  <c r="E9" i="1" l="1"/>
  <c r="E6" i="1" l="1"/>
  <c r="E8" i="1" l="1"/>
  <c r="H8" i="1"/>
  <c r="D8" i="1"/>
  <c r="E4" i="1"/>
  <c r="E7" i="1"/>
  <c r="I8" i="1" l="1"/>
  <c r="K8" i="1" s="1"/>
  <c r="D7" i="1"/>
  <c r="B2" i="6"/>
  <c r="F9" i="1"/>
  <c r="F8" i="1"/>
  <c r="F7" i="1"/>
  <c r="F6" i="1"/>
  <c r="E5" i="1"/>
  <c r="F5" i="1" s="1"/>
  <c r="D5" i="1"/>
  <c r="F4" i="1"/>
  <c r="D4" i="1"/>
  <c r="E3" i="1"/>
  <c r="F3" i="1" s="1"/>
  <c r="C2" i="6"/>
  <c r="D9" i="1"/>
  <c r="D6" i="1"/>
  <c r="J8" i="1" l="1"/>
  <c r="L8" i="1"/>
  <c r="E2" i="6"/>
  <c r="Y71" i="5" l="1"/>
  <c r="Y57" i="5" l="1"/>
  <c r="Y50" i="5"/>
  <c r="L38" i="5"/>
  <c r="C40" i="6" l="1"/>
  <c r="L9" i="5"/>
  <c r="C11" i="9"/>
  <c r="L33" i="5"/>
  <c r="L45" i="5"/>
  <c r="L55" i="5"/>
  <c r="C38" i="11"/>
  <c r="C42" i="12"/>
  <c r="Y8" i="5"/>
  <c r="Y45" i="5"/>
  <c r="Y64" i="5"/>
  <c r="C14" i="9"/>
  <c r="L10" i="5"/>
  <c r="L34" i="5"/>
  <c r="L46" i="5"/>
  <c r="C9" i="11"/>
  <c r="Y17" i="5"/>
  <c r="Y42" i="5"/>
  <c r="Y51" i="5"/>
  <c r="Y56" i="5"/>
  <c r="Y65" i="5"/>
  <c r="C41" i="6"/>
  <c r="L11" i="5"/>
  <c r="L17" i="5"/>
  <c r="L23" i="5"/>
  <c r="L31" i="5"/>
  <c r="L41" i="5"/>
  <c r="L47" i="5"/>
  <c r="L53" i="5"/>
  <c r="C5" i="11"/>
  <c r="C40" i="11"/>
  <c r="C44" i="12"/>
  <c r="C44" i="7"/>
  <c r="Y10" i="5"/>
  <c r="Y34" i="5"/>
  <c r="Y43" i="5"/>
  <c r="Y52" i="5"/>
  <c r="Y66" i="5"/>
  <c r="Y72" i="5"/>
  <c r="L15" i="5"/>
  <c r="L25" i="5"/>
  <c r="L39" i="5"/>
  <c r="Y14" i="5"/>
  <c r="C2" i="12"/>
  <c r="Y30" i="5"/>
  <c r="Y59" i="5"/>
  <c r="L16" i="5"/>
  <c r="L22" i="5"/>
  <c r="L40" i="5"/>
  <c r="L52" i="5"/>
  <c r="C45" i="12"/>
  <c r="C41" i="11"/>
  <c r="C5" i="12"/>
  <c r="C10" i="12"/>
  <c r="C45" i="7"/>
  <c r="C15" i="9"/>
  <c r="Y9" i="5"/>
  <c r="C2" i="11"/>
  <c r="E2" i="11" s="1"/>
  <c r="F2" i="11" s="1"/>
  <c r="Y31" i="5"/>
  <c r="Y70" i="5"/>
  <c r="L8" i="5"/>
  <c r="C39" i="6"/>
  <c r="L18" i="5"/>
  <c r="L24" i="5"/>
  <c r="L32" i="5"/>
  <c r="L48" i="5"/>
  <c r="L54" i="5"/>
  <c r="C42" i="6"/>
  <c r="C12" i="9"/>
  <c r="C43" i="12"/>
  <c r="C43" i="7"/>
  <c r="C39" i="11"/>
  <c r="Y7" i="5"/>
  <c r="Y35" i="5"/>
  <c r="Y44" i="5"/>
  <c r="Y49" i="5"/>
  <c r="Y58" i="5"/>
  <c r="Y63" i="5"/>
  <c r="Y73" i="5"/>
  <c r="C6" i="11" l="1"/>
  <c r="C7" i="9"/>
  <c r="C16" i="9"/>
  <c r="E39" i="11"/>
  <c r="E42" i="7"/>
  <c r="D2" i="11"/>
  <c r="E10" i="11"/>
  <c r="F10" i="11" s="1"/>
  <c r="D8" i="11"/>
  <c r="D3" i="11"/>
  <c r="D7" i="11"/>
  <c r="D4" i="11"/>
  <c r="E43" i="12"/>
  <c r="E41" i="11"/>
  <c r="E44" i="12"/>
  <c r="E42" i="12"/>
  <c r="E42" i="6"/>
  <c r="D3" i="12"/>
  <c r="D9" i="12"/>
  <c r="C6" i="12"/>
  <c r="D7" i="12"/>
  <c r="E10" i="12"/>
  <c r="F10" i="12" s="1"/>
  <c r="D4" i="12"/>
  <c r="D8" i="12"/>
  <c r="E2" i="12"/>
  <c r="F2" i="12" s="1"/>
  <c r="D2" i="12"/>
  <c r="E5" i="11"/>
  <c r="F5" i="11" s="1"/>
  <c r="D5" i="11"/>
  <c r="E43" i="7"/>
  <c r="D5" i="12"/>
  <c r="E5" i="12"/>
  <c r="F5" i="12" s="1"/>
  <c r="Y33" i="5"/>
  <c r="C13" i="9"/>
  <c r="E39" i="6"/>
  <c r="E45" i="7"/>
  <c r="E45" i="12"/>
  <c r="E44" i="7"/>
  <c r="E40" i="11"/>
  <c r="E41" i="6"/>
  <c r="E9" i="11"/>
  <c r="F9" i="11" s="1"/>
  <c r="D9" i="11"/>
  <c r="E38" i="11"/>
  <c r="E40" i="6"/>
  <c r="N49" i="7" l="1"/>
  <c r="D6" i="12"/>
  <c r="D10" i="12" s="1"/>
  <c r="E6" i="12"/>
  <c r="F6" i="12" s="1"/>
  <c r="M45" i="6"/>
  <c r="E6" i="11"/>
  <c r="F6" i="11" s="1"/>
  <c r="D6" i="11"/>
  <c r="D10" i="11" s="1"/>
  <c r="N30" i="11"/>
  <c r="L51" i="12"/>
  <c r="L30" i="11"/>
  <c r="K30" i="11"/>
  <c r="M30" i="11"/>
  <c r="N51" i="12"/>
  <c r="J45" i="6"/>
  <c r="M51" i="12"/>
  <c r="K45" i="6"/>
  <c r="M49" i="7"/>
  <c r="K49" i="7"/>
  <c r="L49" i="7"/>
  <c r="L45" i="6"/>
  <c r="K51" i="12"/>
  <c r="O19" i="5" l="1"/>
  <c r="O5" i="5" l="1"/>
  <c r="S6" i="5" s="1"/>
  <c r="P19" i="5"/>
  <c r="W20" i="5"/>
  <c r="R47" i="5"/>
  <c r="V48" i="5" s="1"/>
  <c r="Y48" i="5"/>
  <c r="D13" i="5"/>
  <c r="H14" i="5" s="1"/>
  <c r="K14" i="5"/>
  <c r="E20" i="5"/>
  <c r="L37" i="5"/>
  <c r="E36" i="5"/>
  <c r="P26" i="5"/>
  <c r="T27" i="5" s="1"/>
  <c r="W27" i="5"/>
  <c r="Y41" i="5"/>
  <c r="R40" i="5"/>
  <c r="X48" i="5"/>
  <c r="Q47" i="5"/>
  <c r="U48" i="5" s="1"/>
  <c r="R54" i="5"/>
  <c r="V55" i="5" s="1"/>
  <c r="Y55" i="5"/>
  <c r="O61" i="5"/>
  <c r="O68" i="5"/>
  <c r="S69" i="5" s="1"/>
  <c r="E13" i="5"/>
  <c r="I14" i="5" s="1"/>
  <c r="L14" i="5"/>
  <c r="B50" i="5"/>
  <c r="F51" i="5" s="1"/>
  <c r="Q26" i="5"/>
  <c r="U27" i="5" s="1"/>
  <c r="X27" i="5"/>
  <c r="J14" i="5"/>
  <c r="C13" i="5"/>
  <c r="G14" i="5" s="1"/>
  <c r="K37" i="5"/>
  <c r="D36" i="5"/>
  <c r="H37" i="5" s="1"/>
  <c r="R5" i="5"/>
  <c r="Y6" i="5"/>
  <c r="C37" i="11"/>
  <c r="C3" i="9"/>
  <c r="C41" i="12"/>
  <c r="C41" i="7"/>
  <c r="B41" i="7"/>
  <c r="B3" i="9"/>
  <c r="B41" i="12"/>
  <c r="B37" i="11"/>
  <c r="Q5" i="5"/>
  <c r="X6" i="5"/>
  <c r="Y13" i="5"/>
  <c r="R12" i="5"/>
  <c r="V13" i="5" s="1"/>
  <c r="Q12" i="5"/>
  <c r="U13" i="5" s="1"/>
  <c r="X13" i="5"/>
  <c r="C8" i="7"/>
  <c r="R19" i="5"/>
  <c r="Y20" i="5"/>
  <c r="O26" i="5"/>
  <c r="S27" i="5" s="1"/>
  <c r="Q40" i="5"/>
  <c r="U41" i="5" s="1"/>
  <c r="X41" i="5"/>
  <c r="P47" i="5"/>
  <c r="T48" i="5" s="1"/>
  <c r="W48" i="5"/>
  <c r="Q54" i="5"/>
  <c r="X55" i="5"/>
  <c r="R61" i="5"/>
  <c r="V62" i="5" s="1"/>
  <c r="Y62" i="5"/>
  <c r="B20" i="5"/>
  <c r="F21" i="5" s="1"/>
  <c r="B36" i="5"/>
  <c r="L51" i="5"/>
  <c r="E50" i="5"/>
  <c r="O12" i="5"/>
  <c r="O40" i="5"/>
  <c r="S41" i="5" s="1"/>
  <c r="O54" i="5"/>
  <c r="P61" i="5"/>
  <c r="T62" i="5" s="1"/>
  <c r="W62" i="5"/>
  <c r="P68" i="5"/>
  <c r="T69" i="5" s="1"/>
  <c r="W69" i="5"/>
  <c r="B13" i="5"/>
  <c r="F14" i="5" s="1"/>
  <c r="C36" i="5"/>
  <c r="G37" i="5" s="1"/>
  <c r="J37" i="5"/>
  <c r="P5" i="5"/>
  <c r="T6" i="5" s="1"/>
  <c r="W6" i="5"/>
  <c r="P12" i="5"/>
  <c r="T13" i="5" s="1"/>
  <c r="W13" i="5"/>
  <c r="Q19" i="5"/>
  <c r="X20" i="5"/>
  <c r="Y27" i="5"/>
  <c r="R26" i="5"/>
  <c r="V27" i="5" s="1"/>
  <c r="P40" i="5"/>
  <c r="T41" i="5" s="1"/>
  <c r="W41" i="5"/>
  <c r="O47" i="5"/>
  <c r="P54" i="5"/>
  <c r="W55" i="5"/>
  <c r="Q61" i="5"/>
  <c r="U62" i="5" s="1"/>
  <c r="X62" i="5"/>
  <c r="Y69" i="5"/>
  <c r="R68" i="5"/>
  <c r="V69" i="5" s="1"/>
  <c r="Q68" i="5"/>
  <c r="X69" i="5"/>
  <c r="O75" i="5" l="1"/>
  <c r="T59" i="5"/>
  <c r="T57" i="5"/>
  <c r="T56" i="5"/>
  <c r="W54" i="5"/>
  <c r="T55" i="5"/>
  <c r="S49" i="5"/>
  <c r="S52" i="5"/>
  <c r="S50" i="5"/>
  <c r="B8" i="7"/>
  <c r="E8" i="7" s="1"/>
  <c r="X19" i="5"/>
  <c r="L30" i="5"/>
  <c r="E29" i="5"/>
  <c r="D5" i="5"/>
  <c r="H7" i="5" s="1"/>
  <c r="B38" i="6"/>
  <c r="B2" i="9"/>
  <c r="B17" i="9" s="1"/>
  <c r="K7" i="5"/>
  <c r="S56" i="5"/>
  <c r="S59" i="5"/>
  <c r="S57" i="5"/>
  <c r="S17" i="5"/>
  <c r="S14" i="5"/>
  <c r="S15" i="5"/>
  <c r="F41" i="5"/>
  <c r="F38" i="5"/>
  <c r="F39" i="5"/>
  <c r="T52" i="5"/>
  <c r="T50" i="5"/>
  <c r="T49" i="5"/>
  <c r="W47" i="5"/>
  <c r="B18" i="9"/>
  <c r="C18" i="9"/>
  <c r="V16" i="5"/>
  <c r="V10" i="5"/>
  <c r="V37" i="5"/>
  <c r="V51" i="5"/>
  <c r="V44" i="5"/>
  <c r="V23" i="5"/>
  <c r="Y5" i="5"/>
  <c r="V8" i="5"/>
  <c r="V65" i="5"/>
  <c r="V58" i="5"/>
  <c r="V30" i="5"/>
  <c r="V72" i="5"/>
  <c r="V7" i="5"/>
  <c r="V9" i="5"/>
  <c r="R75" i="5"/>
  <c r="V5" i="5" s="1"/>
  <c r="D20" i="5"/>
  <c r="H21" i="5" s="1"/>
  <c r="K21" i="5"/>
  <c r="C2" i="9"/>
  <c r="C17" i="9" s="1"/>
  <c r="E5" i="5"/>
  <c r="I7" i="5" s="1"/>
  <c r="L7" i="5"/>
  <c r="C38" i="6"/>
  <c r="I16" i="5"/>
  <c r="I18" i="5"/>
  <c r="L13" i="5"/>
  <c r="I15" i="5"/>
  <c r="S63" i="5"/>
  <c r="S66" i="5"/>
  <c r="S64" i="5"/>
  <c r="V35" i="5"/>
  <c r="Y40" i="5"/>
  <c r="V45" i="5"/>
  <c r="V34" i="5"/>
  <c r="V36" i="5"/>
  <c r="V38" i="5"/>
  <c r="V42" i="5"/>
  <c r="V43" i="5"/>
  <c r="T31" i="5"/>
  <c r="T28" i="5"/>
  <c r="W26" i="5"/>
  <c r="T29" i="5"/>
  <c r="W19" i="5"/>
  <c r="U73" i="5"/>
  <c r="U70" i="5"/>
  <c r="X68" i="5"/>
  <c r="U71" i="5"/>
  <c r="C18" i="1"/>
  <c r="V31" i="5"/>
  <c r="C2" i="7"/>
  <c r="Y26" i="5"/>
  <c r="V29" i="5"/>
  <c r="V28" i="5"/>
  <c r="C20" i="5"/>
  <c r="J21" i="5"/>
  <c r="I51" i="5"/>
  <c r="I53" i="5"/>
  <c r="I52" i="5"/>
  <c r="C5" i="6"/>
  <c r="I55" i="5"/>
  <c r="U59" i="5"/>
  <c r="U57" i="5"/>
  <c r="U56" i="5"/>
  <c r="X54" i="5"/>
  <c r="S28" i="5"/>
  <c r="S29" i="5"/>
  <c r="S31" i="5"/>
  <c r="V14" i="5"/>
  <c r="V15" i="5"/>
  <c r="C20" i="1"/>
  <c r="C9" i="7"/>
  <c r="V17" i="5"/>
  <c r="Y12" i="5"/>
  <c r="U72" i="5"/>
  <c r="U51" i="5"/>
  <c r="X5" i="5"/>
  <c r="U44" i="5"/>
  <c r="U37" i="5"/>
  <c r="U23" i="5"/>
  <c r="U7" i="5"/>
  <c r="U9" i="5"/>
  <c r="U65" i="5"/>
  <c r="U58" i="5"/>
  <c r="Q75" i="5"/>
  <c r="U54" i="5" s="1"/>
  <c r="U16" i="5"/>
  <c r="U10" i="5"/>
  <c r="U30" i="5"/>
  <c r="U8" i="5"/>
  <c r="B46" i="7"/>
  <c r="C42" i="11"/>
  <c r="E37" i="11"/>
  <c r="J30" i="11" s="1"/>
  <c r="D50" i="5"/>
  <c r="H51" i="5" s="1"/>
  <c r="K51" i="5"/>
  <c r="K36" i="5"/>
  <c r="H39" i="5"/>
  <c r="B7" i="6"/>
  <c r="H41" i="5"/>
  <c r="H38" i="5"/>
  <c r="F55" i="5"/>
  <c r="F52" i="5"/>
  <c r="F53" i="5"/>
  <c r="U50" i="5"/>
  <c r="X47" i="5"/>
  <c r="U52" i="5"/>
  <c r="U49" i="5"/>
  <c r="K30" i="5"/>
  <c r="D29" i="5"/>
  <c r="H30" i="5" s="1"/>
  <c r="P75" i="5"/>
  <c r="T51" i="5"/>
  <c r="T16" i="5"/>
  <c r="T23" i="5"/>
  <c r="T8" i="5"/>
  <c r="T37" i="5"/>
  <c r="T44" i="5"/>
  <c r="T9" i="5"/>
  <c r="T7" i="5"/>
  <c r="T72" i="5"/>
  <c r="T65" i="5"/>
  <c r="T30" i="5"/>
  <c r="W5" i="5"/>
  <c r="T10" i="5"/>
  <c r="T58" i="5"/>
  <c r="G38" i="5"/>
  <c r="G39" i="5"/>
  <c r="J36" i="5"/>
  <c r="G41" i="5"/>
  <c r="T66" i="5"/>
  <c r="W61" i="5"/>
  <c r="T63" i="5"/>
  <c r="T64" i="5"/>
  <c r="S36" i="5"/>
  <c r="S35" i="5"/>
  <c r="S42" i="5"/>
  <c r="S43" i="5"/>
  <c r="S34" i="5"/>
  <c r="S38" i="5"/>
  <c r="S45" i="5"/>
  <c r="F25" i="5"/>
  <c r="F23" i="5"/>
  <c r="F22" i="5"/>
  <c r="V63" i="5"/>
  <c r="V66" i="5"/>
  <c r="V64" i="5"/>
  <c r="Y61" i="5"/>
  <c r="B42" i="11"/>
  <c r="C46" i="7"/>
  <c r="D41" i="7" s="1"/>
  <c r="E41" i="7"/>
  <c r="J49" i="7" s="1"/>
  <c r="B43" i="5"/>
  <c r="G15" i="5"/>
  <c r="G16" i="5"/>
  <c r="G18" i="5"/>
  <c r="J13" i="5"/>
  <c r="S71" i="5"/>
  <c r="S73" i="5"/>
  <c r="S70" i="5"/>
  <c r="J44" i="5"/>
  <c r="C43" i="5"/>
  <c r="G44" i="5" s="1"/>
  <c r="L21" i="5"/>
  <c r="H15" i="5"/>
  <c r="H18" i="5"/>
  <c r="K13" i="5"/>
  <c r="H16" i="5"/>
  <c r="V49" i="5"/>
  <c r="V52" i="5"/>
  <c r="Y47" i="5"/>
  <c r="V50" i="5"/>
  <c r="S30" i="5"/>
  <c r="S54" i="5"/>
  <c r="S10" i="5"/>
  <c r="S8" i="5"/>
  <c r="S51" i="5"/>
  <c r="S72" i="5"/>
  <c r="S44" i="5"/>
  <c r="S9" i="5"/>
  <c r="S7" i="5"/>
  <c r="S23" i="5"/>
  <c r="S65" i="5"/>
  <c r="S16" i="5"/>
  <c r="S37" i="5"/>
  <c r="S58" i="5"/>
  <c r="U69" i="5"/>
  <c r="V71" i="5"/>
  <c r="V70" i="5"/>
  <c r="V73" i="5"/>
  <c r="Y68" i="5"/>
  <c r="U66" i="5"/>
  <c r="U64" i="5"/>
  <c r="U63" i="5"/>
  <c r="X61" i="5"/>
  <c r="S48" i="5"/>
  <c r="T36" i="5"/>
  <c r="T42" i="5"/>
  <c r="W40" i="5"/>
  <c r="T38" i="5"/>
  <c r="T35" i="5"/>
  <c r="T34" i="5"/>
  <c r="T43" i="5"/>
  <c r="T45" i="5"/>
  <c r="T17" i="5"/>
  <c r="T14" i="5"/>
  <c r="T15" i="5"/>
  <c r="W12" i="5"/>
  <c r="C50" i="5"/>
  <c r="J51" i="5"/>
  <c r="B29" i="5"/>
  <c r="F30" i="5" s="1"/>
  <c r="B27" i="5"/>
  <c r="F15" i="5"/>
  <c r="F18" i="5"/>
  <c r="F16" i="5"/>
  <c r="T73" i="5"/>
  <c r="T71" i="5"/>
  <c r="W68" i="5"/>
  <c r="T70" i="5"/>
  <c r="S55" i="5"/>
  <c r="S13" i="5"/>
  <c r="F37" i="5"/>
  <c r="C5" i="5"/>
  <c r="G7" i="5" s="1"/>
  <c r="J7" i="5"/>
  <c r="U55" i="5"/>
  <c r="U38" i="5"/>
  <c r="U45" i="5"/>
  <c r="U34" i="5"/>
  <c r="X40" i="5"/>
  <c r="U35" i="5"/>
  <c r="U42" i="5"/>
  <c r="U43" i="5"/>
  <c r="U36" i="5"/>
  <c r="Y19" i="5"/>
  <c r="B20" i="1"/>
  <c r="B9" i="7"/>
  <c r="U14" i="5"/>
  <c r="U15" i="5"/>
  <c r="X12" i="5"/>
  <c r="U17" i="5"/>
  <c r="U6" i="5"/>
  <c r="B46" i="12"/>
  <c r="E41" i="12"/>
  <c r="J51" i="12" s="1"/>
  <c r="C46" i="12"/>
  <c r="V6" i="5"/>
  <c r="E43" i="5"/>
  <c r="L44" i="5"/>
  <c r="J30" i="5"/>
  <c r="C29" i="5"/>
  <c r="G30" i="5" s="1"/>
  <c r="B2" i="7"/>
  <c r="U31" i="5"/>
  <c r="B18" i="1"/>
  <c r="X26" i="5"/>
  <c r="U29" i="5"/>
  <c r="U28" i="5"/>
  <c r="S62" i="5"/>
  <c r="Y54" i="5"/>
  <c r="V59" i="5"/>
  <c r="V56" i="5"/>
  <c r="V57" i="5"/>
  <c r="V41" i="5"/>
  <c r="I37" i="5"/>
  <c r="C7" i="6"/>
  <c r="L36" i="5"/>
  <c r="I38" i="5"/>
  <c r="I39" i="5"/>
  <c r="I41" i="5"/>
  <c r="I21" i="5"/>
  <c r="I23" i="5"/>
  <c r="E27" i="5"/>
  <c r="I25" i="5"/>
  <c r="I22" i="5"/>
  <c r="B5" i="5"/>
  <c r="D43" i="5"/>
  <c r="H44" i="5" s="1"/>
  <c r="K44" i="5"/>
  <c r="L20" i="5" l="1"/>
  <c r="D27" i="5"/>
  <c r="D57" i="5" s="1"/>
  <c r="H5" i="5" s="1"/>
  <c r="F8" i="5"/>
  <c r="F9" i="5"/>
  <c r="F10" i="5"/>
  <c r="F11" i="5"/>
  <c r="B4" i="9"/>
  <c r="V19" i="5"/>
  <c r="V68" i="5"/>
  <c r="V47" i="5"/>
  <c r="V12" i="5"/>
  <c r="V61" i="5"/>
  <c r="V54" i="5"/>
  <c r="V40" i="5"/>
  <c r="F37" i="11"/>
  <c r="J32" i="11" s="1"/>
  <c r="F41" i="12"/>
  <c r="J53" i="12" s="1"/>
  <c r="U47" i="5"/>
  <c r="U40" i="5"/>
  <c r="U61" i="5"/>
  <c r="F41" i="7"/>
  <c r="J51" i="7" s="1"/>
  <c r="U68" i="5"/>
  <c r="C3" i="6"/>
  <c r="L27" i="5"/>
  <c r="G52" i="5"/>
  <c r="G53" i="5"/>
  <c r="G55" i="5"/>
  <c r="J50" i="5"/>
  <c r="U19" i="5"/>
  <c r="T33" i="5"/>
  <c r="U33" i="5"/>
  <c r="W75" i="5"/>
  <c r="B19" i="9"/>
  <c r="T47" i="5"/>
  <c r="E7" i="6"/>
  <c r="I44" i="5"/>
  <c r="I48" i="5"/>
  <c r="I46" i="5"/>
  <c r="C4" i="6"/>
  <c r="I45" i="5"/>
  <c r="L43" i="5"/>
  <c r="U12" i="5"/>
  <c r="F34" i="5"/>
  <c r="F32" i="5"/>
  <c r="F31" i="5"/>
  <c r="T12" i="5"/>
  <c r="S68" i="5"/>
  <c r="F39" i="11"/>
  <c r="L32" i="11" s="1"/>
  <c r="F40" i="11"/>
  <c r="M32" i="11" s="1"/>
  <c r="F38" i="11"/>
  <c r="K32" i="11" s="1"/>
  <c r="F41" i="11"/>
  <c r="N32" i="11" s="1"/>
  <c r="T5" i="5"/>
  <c r="K50" i="5"/>
  <c r="H53" i="5"/>
  <c r="B5" i="6"/>
  <c r="E5" i="6" s="1"/>
  <c r="H55" i="5"/>
  <c r="H52" i="5"/>
  <c r="V26" i="5"/>
  <c r="E2" i="7"/>
  <c r="T19" i="5"/>
  <c r="S61" i="5"/>
  <c r="C6" i="6"/>
  <c r="L5" i="5"/>
  <c r="I8" i="5"/>
  <c r="I10" i="5"/>
  <c r="I9" i="5"/>
  <c r="I11" i="5"/>
  <c r="E57" i="5"/>
  <c r="I29" i="5" s="1"/>
  <c r="K20" i="5"/>
  <c r="H25" i="5"/>
  <c r="H23" i="5"/>
  <c r="H22" i="5"/>
  <c r="S12" i="5"/>
  <c r="H10" i="5"/>
  <c r="H8" i="5"/>
  <c r="K5" i="5"/>
  <c r="H9" i="5"/>
  <c r="H11" i="5"/>
  <c r="B6" i="6"/>
  <c r="D44" i="12"/>
  <c r="D46" i="12"/>
  <c r="D45" i="12"/>
  <c r="D43" i="12"/>
  <c r="D42" i="12"/>
  <c r="E46" i="12"/>
  <c r="F46" i="12" s="1"/>
  <c r="S33" i="5"/>
  <c r="S19" i="5"/>
  <c r="F48" i="5"/>
  <c r="F45" i="5"/>
  <c r="F46" i="5"/>
  <c r="D40" i="11"/>
  <c r="D38" i="11"/>
  <c r="D39" i="11"/>
  <c r="E42" i="11"/>
  <c r="F42" i="11" s="1"/>
  <c r="D42" i="11"/>
  <c r="D41" i="11"/>
  <c r="G25" i="5"/>
  <c r="J20" i="5"/>
  <c r="G22" i="5"/>
  <c r="G23" i="5"/>
  <c r="B43" i="6"/>
  <c r="B4" i="6"/>
  <c r="K43" i="5"/>
  <c r="H45" i="5"/>
  <c r="H46" i="5"/>
  <c r="H48" i="5"/>
  <c r="U26" i="5"/>
  <c r="G31" i="5"/>
  <c r="J29" i="5"/>
  <c r="G34" i="5"/>
  <c r="G32" i="5"/>
  <c r="G9" i="5"/>
  <c r="G10" i="5"/>
  <c r="G8" i="5"/>
  <c r="J5" i="5"/>
  <c r="G11" i="5"/>
  <c r="T68" i="5"/>
  <c r="G51" i="5"/>
  <c r="T40" i="5"/>
  <c r="C27" i="5"/>
  <c r="C57" i="5" s="1"/>
  <c r="K29" i="5"/>
  <c r="H32" i="5"/>
  <c r="H34" i="5"/>
  <c r="B8" i="6"/>
  <c r="H31" i="5"/>
  <c r="D37" i="11"/>
  <c r="F45" i="7"/>
  <c r="N51" i="7" s="1"/>
  <c r="F42" i="7"/>
  <c r="K51" i="7" s="1"/>
  <c r="F43" i="7"/>
  <c r="L51" i="7" s="1"/>
  <c r="F44" i="7"/>
  <c r="M51" i="7" s="1"/>
  <c r="U5" i="5"/>
  <c r="E9" i="7"/>
  <c r="S26" i="5"/>
  <c r="L50" i="5"/>
  <c r="G21" i="5"/>
  <c r="C4" i="9"/>
  <c r="I30" i="5"/>
  <c r="I31" i="5"/>
  <c r="I34" i="5"/>
  <c r="C8" i="6"/>
  <c r="I32" i="5"/>
  <c r="L29" i="5"/>
  <c r="S47" i="5"/>
  <c r="G54" i="5"/>
  <c r="H24" i="5"/>
  <c r="H47" i="5"/>
  <c r="H33" i="5"/>
  <c r="F17" i="5"/>
  <c r="B57" i="5"/>
  <c r="F29" i="5" s="1"/>
  <c r="G47" i="5"/>
  <c r="F24" i="5"/>
  <c r="F47" i="5"/>
  <c r="F33" i="5"/>
  <c r="F54" i="5"/>
  <c r="G40" i="5"/>
  <c r="H54" i="5"/>
  <c r="H40" i="5"/>
  <c r="G24" i="5"/>
  <c r="H17" i="5"/>
  <c r="G33" i="5"/>
  <c r="F40" i="5"/>
  <c r="G17" i="5"/>
  <c r="I24" i="5"/>
  <c r="I54" i="5"/>
  <c r="I40" i="5"/>
  <c r="I33" i="5"/>
  <c r="I17" i="5"/>
  <c r="I47" i="5"/>
  <c r="F7" i="5"/>
  <c r="D41" i="12"/>
  <c r="F45" i="12"/>
  <c r="N53" i="12" s="1"/>
  <c r="F44" i="12"/>
  <c r="M53" i="12" s="1"/>
  <c r="F43" i="12"/>
  <c r="L53" i="12" s="1"/>
  <c r="F42" i="12"/>
  <c r="K53" i="12" s="1"/>
  <c r="S5" i="5"/>
  <c r="B3" i="6"/>
  <c r="G45" i="5"/>
  <c r="G46" i="5"/>
  <c r="G48" i="5"/>
  <c r="J43" i="5"/>
  <c r="F44" i="5"/>
  <c r="J35" i="7"/>
  <c r="D43" i="7"/>
  <c r="D44" i="7"/>
  <c r="E46" i="7"/>
  <c r="F46" i="7" s="1"/>
  <c r="D45" i="7"/>
  <c r="D42" i="7"/>
  <c r="D46" i="7"/>
  <c r="S40" i="5"/>
  <c r="T61" i="5"/>
  <c r="B10" i="1"/>
  <c r="B10" i="7" s="1"/>
  <c r="X75" i="5"/>
  <c r="E20" i="1"/>
  <c r="E18" i="1"/>
  <c r="T26" i="5"/>
  <c r="C43" i="6"/>
  <c r="E38" i="6"/>
  <c r="I45" i="6" s="1"/>
  <c r="S78" i="5"/>
  <c r="V33" i="5"/>
  <c r="Y75" i="5"/>
  <c r="C10" i="1"/>
  <c r="C19" i="9"/>
  <c r="T54" i="5"/>
  <c r="D20" i="1" l="1"/>
  <c r="C10" i="7"/>
  <c r="H27" i="5"/>
  <c r="F5" i="5"/>
  <c r="V75" i="5"/>
  <c r="E58" i="5"/>
  <c r="F27" i="5"/>
  <c r="D58" i="5"/>
  <c r="K27" i="5"/>
  <c r="U75" i="5"/>
  <c r="H43" i="5"/>
  <c r="G50" i="5"/>
  <c r="G29" i="5"/>
  <c r="G43" i="5"/>
  <c r="E24" i="1"/>
  <c r="B12" i="10"/>
  <c r="B9" i="6"/>
  <c r="F2" i="6" s="1"/>
  <c r="I13" i="6" s="1"/>
  <c r="T75" i="5"/>
  <c r="F38" i="6"/>
  <c r="I47" i="6" s="1"/>
  <c r="C10" i="6"/>
  <c r="L57" i="5"/>
  <c r="C2" i="1"/>
  <c r="I50" i="5"/>
  <c r="I36" i="5"/>
  <c r="I13" i="5"/>
  <c r="I20" i="5"/>
  <c r="D18" i="1"/>
  <c r="D24" i="1"/>
  <c r="D19" i="1"/>
  <c r="E10" i="1"/>
  <c r="F10" i="1" s="1"/>
  <c r="D5" i="7"/>
  <c r="D11" i="1"/>
  <c r="D38" i="6"/>
  <c r="E43" i="6"/>
  <c r="D40" i="6"/>
  <c r="D42" i="6"/>
  <c r="D39" i="6"/>
  <c r="D43" i="6"/>
  <c r="D41" i="6"/>
  <c r="J27" i="5"/>
  <c r="G27" i="5"/>
  <c r="F42" i="6"/>
  <c r="M47" i="6" s="1"/>
  <c r="F40" i="6"/>
  <c r="K47" i="6" s="1"/>
  <c r="F39" i="6"/>
  <c r="J47" i="6" s="1"/>
  <c r="F41" i="6"/>
  <c r="L47" i="6" s="1"/>
  <c r="F43" i="5"/>
  <c r="E4" i="6"/>
  <c r="I27" i="5"/>
  <c r="G5" i="5"/>
  <c r="J57" i="5"/>
  <c r="G13" i="5"/>
  <c r="G36" i="5"/>
  <c r="G20" i="5"/>
  <c r="B2" i="1"/>
  <c r="B21" i="1" s="1"/>
  <c r="B10" i="6"/>
  <c r="K57" i="5"/>
  <c r="H13" i="5"/>
  <c r="H36" i="5"/>
  <c r="H20" i="5"/>
  <c r="E6" i="6"/>
  <c r="S75" i="5"/>
  <c r="I43" i="5"/>
  <c r="F20" i="5"/>
  <c r="F13" i="5"/>
  <c r="F36" i="5"/>
  <c r="F50" i="5"/>
  <c r="E8" i="6"/>
  <c r="H29" i="5"/>
  <c r="B58" i="5"/>
  <c r="I5" i="5"/>
  <c r="H50" i="5"/>
  <c r="C58" i="5"/>
  <c r="C9" i="6"/>
  <c r="D6" i="6" s="1"/>
  <c r="C12" i="10"/>
  <c r="K3" i="6"/>
  <c r="E3" i="6"/>
  <c r="K4" i="6"/>
  <c r="F5" i="6" l="1"/>
  <c r="I16" i="6" s="1"/>
  <c r="F8" i="6"/>
  <c r="I19" i="6" s="1"/>
  <c r="D3" i="6"/>
  <c r="L58" i="5"/>
  <c r="F57" i="5"/>
  <c r="F7" i="6"/>
  <c r="I18" i="6" s="1"/>
  <c r="F6" i="6"/>
  <c r="I17" i="6" s="1"/>
  <c r="F3" i="6"/>
  <c r="I14" i="6" s="1"/>
  <c r="K58" i="5"/>
  <c r="F4" i="6"/>
  <c r="I15" i="6" s="1"/>
  <c r="G57" i="5"/>
  <c r="D4" i="6"/>
  <c r="I57" i="5"/>
  <c r="D7" i="7"/>
  <c r="D3" i="7"/>
  <c r="J34" i="7"/>
  <c r="K34" i="7" s="1"/>
  <c r="D4" i="7"/>
  <c r="C6" i="7"/>
  <c r="D6" i="7" s="1"/>
  <c r="D8" i="7"/>
  <c r="D9" i="7"/>
  <c r="D2" i="7"/>
  <c r="E2" i="1"/>
  <c r="F2" i="1" s="1"/>
  <c r="D3" i="1"/>
  <c r="J58" i="5"/>
  <c r="F43" i="6"/>
  <c r="N45" i="6"/>
  <c r="N47" i="6"/>
  <c r="D2" i="6"/>
  <c r="E9" i="6"/>
  <c r="F9" i="6" s="1"/>
  <c r="D7" i="6"/>
  <c r="D5" i="6"/>
  <c r="H57" i="5"/>
  <c r="D8" i="6"/>
  <c r="C21" i="1"/>
  <c r="B6" i="7"/>
  <c r="F3" i="7"/>
  <c r="I16" i="7" s="1"/>
  <c r="F7" i="7"/>
  <c r="I20" i="7" s="1"/>
  <c r="F4" i="7"/>
  <c r="I17" i="7" s="1"/>
  <c r="F5" i="7"/>
  <c r="I18" i="7" s="1"/>
  <c r="F8" i="7"/>
  <c r="I21" i="7" s="1"/>
  <c r="F9" i="7"/>
  <c r="I22" i="7" s="1"/>
  <c r="F2" i="7"/>
  <c r="I15" i="7" s="1"/>
  <c r="I20" i="6" l="1"/>
  <c r="D9" i="6"/>
  <c r="E6" i="7"/>
  <c r="F6" i="7" s="1"/>
  <c r="I19" i="7" s="1"/>
  <c r="I23" i="7" s="1"/>
  <c r="E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GUERINVA</author>
  </authors>
  <commentList>
    <comment ref="N6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GUERINVA:</t>
        </r>
        <r>
          <rPr>
            <sz val="8"/>
            <color indexed="81"/>
            <rFont val="Tahoma"/>
            <family val="2"/>
          </rPr>
          <t xml:space="preserve">
Divers produits techniques + reprises sur provisions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Newten Dumanoir</author>
  </authors>
  <commentList>
    <comment ref="E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Newten Dumanoir:
TCDC_REALISATIONS_EFFECTIFS_2018_NSA</t>
        </r>
      </text>
    </comment>
    <comment ref="E5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TCDC_REALISATIONS_EFFECTIFS_2018_NSA</t>
        </r>
      </text>
    </comment>
    <comment ref="E6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TCDC_REALISATIONS_EFFECTIFS_2018_RCO</t>
        </r>
      </text>
    </comment>
    <comment ref="E7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TCDC_REALISATIONS_EFFECTIFS_2018_NSA</t>
        </r>
      </text>
    </comment>
    <comment ref="E9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Newten Dumanoir:
Maquette_Réalisations2018_FAMILLE NSA_pour note</t>
        </r>
      </text>
    </comment>
    <comment ref="E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Newten Dumanoir:</t>
        </r>
        <r>
          <rPr>
            <sz val="9"/>
            <color indexed="81"/>
            <rFont val="Tahoma"/>
            <family val="2"/>
          </rPr>
          <t xml:space="preserve">
Maquette_Réalisations2018_FAMILLE NSA_pour note</t>
        </r>
      </text>
    </comment>
  </commentList>
</comments>
</file>

<file path=xl/sharedStrings.xml><?xml version="1.0" encoding="utf-8"?>
<sst xmlns="http://schemas.openxmlformats.org/spreadsheetml/2006/main" count="389" uniqueCount="214">
  <si>
    <t>CHARGES</t>
  </si>
  <si>
    <t>dont prestations légales</t>
  </si>
  <si>
    <t>PRODUITS</t>
  </si>
  <si>
    <t>dont ITAF</t>
  </si>
  <si>
    <t>RESULTAT NET</t>
  </si>
  <si>
    <t>Contribution à la croissance
 (en points)</t>
  </si>
  <si>
    <t>dont cotisations sociales</t>
  </si>
  <si>
    <t>-</t>
  </si>
  <si>
    <t>TOTAL COMPENSATION MAL-MAT-INV-DEC</t>
  </si>
  <si>
    <t>TOTAL COMPENSATION AT-MP</t>
  </si>
  <si>
    <t>TOTAL COMPENSATION FAMILLE</t>
  </si>
  <si>
    <t>TOTAL COMPENSATION RETRAITE</t>
  </si>
  <si>
    <t>dont cotisations PEC Etat</t>
  </si>
  <si>
    <r>
      <t xml:space="preserve">Régime des NSA - Toutes branches
</t>
    </r>
    <r>
      <rPr>
        <b/>
        <i/>
        <sz val="9"/>
        <rFont val="Arial"/>
        <family val="2"/>
      </rPr>
      <t>Montants en millions d'euros</t>
    </r>
  </si>
  <si>
    <t>TOTAL COMPENSATION RCO</t>
  </si>
  <si>
    <t>Prestations légales</t>
  </si>
  <si>
    <t>Autres charges</t>
  </si>
  <si>
    <t>Cotisations sociales</t>
  </si>
  <si>
    <t>Compensation démographique</t>
  </si>
  <si>
    <t>ITAF</t>
  </si>
  <si>
    <t>Total CHARGES</t>
  </si>
  <si>
    <t>CSG</t>
  </si>
  <si>
    <t>%</t>
  </si>
  <si>
    <t>Total PRODUITS</t>
  </si>
  <si>
    <t>Réalisations</t>
  </si>
  <si>
    <t>Poids</t>
  </si>
  <si>
    <t>Evolutions</t>
  </si>
  <si>
    <t>PRESTATIONS SOCIALES (yc  prest extra,...)</t>
  </si>
  <si>
    <t>COTISATIONS SOCIALES (techniques + gestion)</t>
  </si>
  <si>
    <t>Prestations sociales</t>
  </si>
  <si>
    <t>Cotisations "Famille"</t>
  </si>
  <si>
    <t>Prestations sociales "AT-MP"</t>
  </si>
  <si>
    <t>Cotisations "AT"</t>
  </si>
  <si>
    <t>Prestations sociales "Famille"</t>
  </si>
  <si>
    <t>Cotisations RCO</t>
  </si>
  <si>
    <t>RCO</t>
  </si>
  <si>
    <t>Cotisations "Vieillesse-Veuvage"</t>
  </si>
  <si>
    <t>Prestations sociales "Vieillesse-Veuvage"</t>
  </si>
  <si>
    <t>COTISATIONS PRISES EN CHARGE PAR L'ETAT</t>
  </si>
  <si>
    <t>CHARGES TECHNIQUES</t>
  </si>
  <si>
    <t>CHARGES TECHNIQUES DIVERSES</t>
  </si>
  <si>
    <t>TOTAL CHARGES TECHNIQUES + DIVERSES</t>
  </si>
  <si>
    <t>CHARGES FINANCIERES</t>
  </si>
  <si>
    <t>CHARGES EXCEPTIONNELLES</t>
  </si>
  <si>
    <t>PRODUITS FINANCIERS</t>
  </si>
  <si>
    <t>DOTATIONS AUX PROVISIONS</t>
  </si>
  <si>
    <t>PRODUITS DE GESTION COURANTE</t>
  </si>
  <si>
    <t>CHARGES DE GESTION COURANTE</t>
  </si>
  <si>
    <t>PRODUITS EXEPTIONNELS</t>
  </si>
  <si>
    <t>TOTAL DES CHARGES</t>
  </si>
  <si>
    <t>SOLDE</t>
  </si>
  <si>
    <t>AUTRES PRODUITS</t>
  </si>
  <si>
    <t>TOTAL DES PRODUITS</t>
  </si>
  <si>
    <t>Evol</t>
  </si>
  <si>
    <t>Contri croiss</t>
  </si>
  <si>
    <t>Prestations extra-légales</t>
  </si>
  <si>
    <t>Dotations aux provisions</t>
  </si>
  <si>
    <t>Gestion</t>
  </si>
  <si>
    <t>Charges financières</t>
  </si>
  <si>
    <t>Contribution Sociale Généralisée</t>
  </si>
  <si>
    <t>ATEXA</t>
  </si>
  <si>
    <t>FAMILLE</t>
  </si>
  <si>
    <t>RETRAITE</t>
  </si>
  <si>
    <t>dont COMPENSATION DEMO</t>
  </si>
  <si>
    <t>TOTAL PEC PREST MAL-MAT-INV-DEC</t>
  </si>
  <si>
    <t>TOTAL PEC PREST AT-MP</t>
  </si>
  <si>
    <t>TOTAL PEC PREST FAMILLE</t>
  </si>
  <si>
    <t>TOTAL PEC PREST RETRAITE</t>
  </si>
  <si>
    <t>TOTAL PEC PREST RCO</t>
  </si>
  <si>
    <t>TOTAL PEC COT MAL-MAT-INV-DEC</t>
  </si>
  <si>
    <t>TOTAL PEC COT AT-MP</t>
  </si>
  <si>
    <t>TOTAL PEC COT FAMILLE</t>
  </si>
  <si>
    <t>TOTAL PEC COT RETRAITE</t>
  </si>
  <si>
    <t>TOTAL CONTRIB RG MAL-MAT-INV-DEC</t>
  </si>
  <si>
    <t>TOTAL CONTRIB RG AT-MP</t>
  </si>
  <si>
    <t>TOTAL CONTRIB RG FAMILLE</t>
  </si>
  <si>
    <t>TOTAL CONTRIB RG RETRAITE</t>
  </si>
  <si>
    <t>TOTAL PEC COT RCO</t>
  </si>
  <si>
    <t>TOTAL CONTRIB RG RCO</t>
  </si>
  <si>
    <t>TOTAL REPRISE PROV AT-MP</t>
  </si>
  <si>
    <t>TOTAL REPRISE PROV FAMILLE</t>
  </si>
  <si>
    <t>TOTAL REPRISE PROV RETRAITE</t>
  </si>
  <si>
    <t>TOTAL REPRISE PROV RCO</t>
  </si>
  <si>
    <t>CHARGES MALADIE</t>
  </si>
  <si>
    <t>RECETTES MALADIE</t>
  </si>
  <si>
    <t>CHARGES RETRAITE</t>
  </si>
  <si>
    <t>RECETTES RETRAITE</t>
  </si>
  <si>
    <t>RESULTAT RETRAITE</t>
  </si>
  <si>
    <t>CHARGES ATMP</t>
  </si>
  <si>
    <t>RECETTES ATMP</t>
  </si>
  <si>
    <t>RESULTAT ATMP</t>
  </si>
  <si>
    <t>CHARGES FAMILLE</t>
  </si>
  <si>
    <t>RECETTES FAMILLE</t>
  </si>
  <si>
    <t>RESULTAT FAMILLE</t>
  </si>
  <si>
    <t>CHARGES TOTALES</t>
  </si>
  <si>
    <t>RECETTES TOTALES</t>
  </si>
  <si>
    <t>RESULTAT NET TOTAL</t>
  </si>
  <si>
    <t>CHARGES RCO</t>
  </si>
  <si>
    <t>RECETTES RCO</t>
  </si>
  <si>
    <t>RESULTAT RCO</t>
  </si>
  <si>
    <t>Total (hors RCO et IJ AMEXA)</t>
  </si>
  <si>
    <t>"Maladie-Maternité-Invalidité" + IJ AMEXA</t>
  </si>
  <si>
    <t>Cotisations "Maladie" + IJ AMEXA</t>
  </si>
  <si>
    <t>TOTAL REPRISE PROV MAL-MAT-INV-DEC+IJ AMEXA</t>
  </si>
  <si>
    <t>Effectif en moyenne annuelle</t>
  </si>
  <si>
    <t>Bénéficiaires - maladie (hors DOM)</t>
  </si>
  <si>
    <t>Bénéficiaires de pensions vieillesse
(métropole + DOM)</t>
  </si>
  <si>
    <t>Bénéficiaires RCO (métropole + DOM)</t>
  </si>
  <si>
    <t>Bénéficiaires de pensions d'invalidité (hors DOM)</t>
  </si>
  <si>
    <t>Familles bénéficiaires de prestations familiales dans l'année (hors DOM)</t>
  </si>
  <si>
    <t>EVOLUTION DE LA POPULATION DE BENEFICIAIRES ET DE COTISANTS DU REGIME DES NON SALARIES AGRICOLES</t>
  </si>
  <si>
    <t>Structure 2016</t>
  </si>
  <si>
    <t>Prestations NSA</t>
  </si>
  <si>
    <t>Prise en charge de prestations*</t>
  </si>
  <si>
    <t xml:space="preserve">Transferts d’équilibrage des soldes venant du Régime Général (RG)
(en millions d’euros)
</t>
  </si>
  <si>
    <t>Maladie</t>
  </si>
  <si>
    <t>Famille</t>
  </si>
  <si>
    <t xml:space="preserve">TOTAL INTEGRATION RG </t>
  </si>
  <si>
    <t>Cotisants NSA au 1er janvier (hors DOM)</t>
  </si>
  <si>
    <t>Autres produits**</t>
  </si>
  <si>
    <t>Contributions Régime général</t>
  </si>
  <si>
    <t>RESULTAT MALADIE(avec IJ AMEXA)</t>
  </si>
  <si>
    <t>Cotisations prises en charge par l'Etat</t>
  </si>
  <si>
    <t>Charges techniques :</t>
  </si>
  <si>
    <t>Intégration financière RG</t>
  </si>
  <si>
    <t>Contribution CNSA</t>
  </si>
  <si>
    <t>Charges techniques*</t>
  </si>
  <si>
    <t>MALADIE (avec IJ AMEXA)</t>
  </si>
  <si>
    <t>PRODUITS (avec transferts d'équilibre)</t>
  </si>
  <si>
    <t>MALADIE</t>
  </si>
  <si>
    <t>Prise en charge régime des étudiants</t>
  </si>
  <si>
    <t>Prise en charge de cotisations des PAM</t>
  </si>
  <si>
    <t>Contribution versées à la CNSA</t>
  </si>
  <si>
    <t>Contribution AT/MP au titre des départs en retraite anticipée</t>
  </si>
  <si>
    <t>Participation au financement des fonds et organismes (FMESPP, EPRUS, ONIAM, FCATA,…)</t>
  </si>
  <si>
    <t>Compensation généralisée vieillesse (régularisation n-1)</t>
  </si>
  <si>
    <t>Prise en charge de prestations par le FSV</t>
  </si>
  <si>
    <t>TOTAL</t>
  </si>
  <si>
    <t>Charges techniques diverses (pertes sur créances irrécouvrables et transferts divers…)</t>
  </si>
  <si>
    <t>Evolution entre 2015 et 2016</t>
  </si>
  <si>
    <t>--</t>
  </si>
  <si>
    <t>++</t>
  </si>
  <si>
    <r>
      <t xml:space="preserve">Charges techniques NSA (y compris RCO et IJ Amexa)
</t>
    </r>
    <r>
      <rPr>
        <i/>
        <sz val="10"/>
        <color theme="0"/>
        <rFont val="Arial"/>
        <family val="2"/>
      </rPr>
      <t>(en millions d'euros)</t>
    </r>
  </si>
  <si>
    <t>CONTRIBUTION RG</t>
  </si>
  <si>
    <t>AUTRES TRANSFERTS ENTRE ORGANISMES (dont CDV)</t>
  </si>
  <si>
    <t>Contributions du Régime général</t>
  </si>
  <si>
    <t>Total DEPENSES</t>
  </si>
  <si>
    <t>Atexa</t>
  </si>
  <si>
    <t>MALADIE (avec IJ Amexa)</t>
  </si>
  <si>
    <t>Total RECETTES</t>
  </si>
  <si>
    <t>2018/2017</t>
  </si>
  <si>
    <t>Contribution sociale généralisée</t>
  </si>
  <si>
    <t>2019/2018</t>
  </si>
  <si>
    <t>Dont chefs d'exploitation</t>
  </si>
  <si>
    <t>Dont collaborateurs d'exploitation</t>
  </si>
  <si>
    <t>Dont aides familiaux</t>
  </si>
  <si>
    <t>2020/2019</t>
  </si>
  <si>
    <t xml:space="preserve">                                                                       </t>
  </si>
  <si>
    <t>2021/2020</t>
  </si>
  <si>
    <t xml:space="preserve"> </t>
  </si>
  <si>
    <t>Evolution en 2021
(en %)</t>
  </si>
  <si>
    <t>Contribution à l'évolution en 2021
(en points)</t>
  </si>
  <si>
    <t>COMPENS DEMO</t>
  </si>
  <si>
    <t>Réalisation 2022</t>
  </si>
  <si>
    <t>2022/2021</t>
  </si>
  <si>
    <t>Evolution en 2022
(en %)</t>
  </si>
  <si>
    <t>Contribution à l'évolution en 2022</t>
  </si>
  <si>
    <r>
      <t xml:space="preserve">Bénéficiaires </t>
    </r>
    <r>
      <rPr>
        <sz val="10"/>
        <color rgb="FFFF0000"/>
        <rFont val="Arial"/>
        <family val="2"/>
      </rPr>
      <t>RCO</t>
    </r>
    <r>
      <rPr>
        <sz val="10"/>
        <rFont val="Arial"/>
        <family val="2"/>
      </rPr>
      <t xml:space="preserve"> (métropole + DOM)</t>
    </r>
  </si>
  <si>
    <t xml:space="preserve">                                  </t>
  </si>
  <si>
    <t>Evolution 2023/2022</t>
  </si>
  <si>
    <t>Réalisation 2023</t>
  </si>
  <si>
    <t>Structure 2023</t>
  </si>
  <si>
    <t>2023/2022</t>
  </si>
  <si>
    <t>POPULATION DE BENEFICIAIRES ET DE COTISANTS DU REGIME DES NON SALARIES AGRICOLES DE 2017 A 2023</t>
  </si>
  <si>
    <t>Evolution en 2023
(en %)</t>
  </si>
  <si>
    <t>Contribution à l'évolution en 2023
(en points)</t>
  </si>
  <si>
    <t>Charges techniques (+28,4%)</t>
  </si>
  <si>
    <t>Prestations légales (+0,5%)</t>
  </si>
  <si>
    <t>Dotations aux provisions (+7,8%)</t>
  </si>
  <si>
    <t>Gestion (-6,0%)</t>
  </si>
  <si>
    <t>Prestations extra-légales (+8,4%)</t>
  </si>
  <si>
    <t>Autres charges (+6,8%)</t>
  </si>
  <si>
    <t>Charges financières (+19,4%)</t>
  </si>
  <si>
    <t>Itaf (-3,1%)</t>
  </si>
  <si>
    <t>Contributions du Régime général (-5,2%)</t>
  </si>
  <si>
    <t>Compensation démographique (-1,5%)</t>
  </si>
  <si>
    <t>Cotisations sociales (+16,0%)</t>
  </si>
  <si>
    <t>Autres produits (-6,1%)</t>
  </si>
  <si>
    <t>Prise en charge de prestations (+22,3%)</t>
  </si>
  <si>
    <t>Contribution Sociale Généralisée (+16,0%)</t>
  </si>
  <si>
    <t>Cotisations prises en charge par l'Etat (-11,8%)</t>
  </si>
  <si>
    <t>Attention aux étiquette de données</t>
  </si>
  <si>
    <r>
      <t xml:space="preserve">Régime des NSA - Toutes branches
</t>
    </r>
    <r>
      <rPr>
        <b/>
        <i/>
        <sz val="9"/>
        <color theme="1"/>
        <rFont val="Arial"/>
        <family val="2"/>
      </rPr>
      <t>Montants en millions d'euros</t>
    </r>
  </si>
  <si>
    <r>
      <t>ü</t>
    </r>
    <r>
      <rPr>
        <sz val="9"/>
        <color theme="1"/>
        <rFont val="Arial"/>
        <family val="2"/>
      </rPr>
      <t xml:space="preserve"> retraite</t>
    </r>
  </si>
  <si>
    <r>
      <t>ü</t>
    </r>
    <r>
      <rPr>
        <sz val="9"/>
        <color theme="1"/>
        <rFont val="Arial"/>
        <family val="2"/>
      </rPr>
      <t xml:space="preserve"> maladie-maternité-invalidité</t>
    </r>
  </si>
  <si>
    <r>
      <t>ü</t>
    </r>
    <r>
      <rPr>
        <sz val="9"/>
        <color theme="1"/>
        <rFont val="Arial"/>
        <family val="2"/>
      </rPr>
      <t xml:space="preserve"> retraite complémentaire obligatoire</t>
    </r>
  </si>
  <si>
    <r>
      <t>ü</t>
    </r>
    <r>
      <rPr>
        <sz val="9"/>
        <color theme="1"/>
        <rFont val="Arial"/>
        <family val="2"/>
      </rPr>
      <t xml:space="preserve"> famille</t>
    </r>
  </si>
  <si>
    <r>
      <t>ü</t>
    </r>
    <r>
      <rPr>
        <sz val="9"/>
        <color theme="1"/>
        <rFont val="Arial"/>
        <family val="2"/>
      </rPr>
      <t xml:space="preserve"> accident du travail et maladie professionnelle</t>
    </r>
  </si>
  <si>
    <r>
      <t>ü</t>
    </r>
    <r>
      <rPr>
        <sz val="9"/>
        <color theme="1"/>
        <rFont val="Arial"/>
        <family val="2"/>
      </rPr>
      <t xml:space="preserve"> IJ AMEXA</t>
    </r>
  </si>
  <si>
    <r>
      <t>ü</t>
    </r>
    <r>
      <rPr>
        <sz val="9"/>
        <color theme="1"/>
        <rFont val="Arial"/>
        <family val="2"/>
      </rPr>
      <t xml:space="preserve"> maladie et invalidité</t>
    </r>
  </si>
  <si>
    <t>Régime des non-salariés agricoles</t>
  </si>
  <si>
    <t>Direction des Statistiques, des Etudes et des Fonds</t>
  </si>
  <si>
    <r>
      <t>Directrice de la publication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: Nadia JOUBERT</t>
    </r>
  </si>
  <si>
    <t>joubert.nadia@ccmsa.msa.fr</t>
  </si>
  <si>
    <t>Département Synthèse</t>
  </si>
  <si>
    <t>Responsable : David FOUCAUD</t>
  </si>
  <si>
    <t>foucaud.david@ccmsa.msa.fr</t>
  </si>
  <si>
    <t>Service Financement et gestion du risque</t>
  </si>
  <si>
    <t>Yannick SEVESTRE</t>
  </si>
  <si>
    <t>sevestre.yannick@ccmsa.msa.fr</t>
  </si>
  <si>
    <t>Auteure : Newten DUMANOIR</t>
  </si>
  <si>
    <t>dumanoir.newten@ccmsa.msa.fr</t>
  </si>
  <si>
    <t>Juillet 2024</t>
  </si>
  <si>
    <t>Bilan démographique et financier 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</si>
</sst>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€_-;\-* #,##0.00\ _€_-;_-* &quot;-&quot;??\ _€_-;_-@_-"/>
    <numFmt numFmtId="165" formatCode="0.0"/>
    <numFmt numFmtId="166" formatCode="#,##0.0"/>
    <numFmt numFmtId="167" formatCode="0.0%"/>
    <numFmt numFmtId="168" formatCode="#,##0.0\ &quot;€&quot;"/>
    <numFmt numFmtId="169" formatCode="\+0.0%;\-0.0%;General"/>
    <numFmt numFmtId="170" formatCode="\+0.0;\-0.0;General"/>
    <numFmt numFmtId="171" formatCode="\+0.0;\-0.0"/>
    <numFmt numFmtId="172" formatCode="\+0.0%;\-0.0%"/>
    <numFmt numFmtId="173" formatCode="0.0_ ;\-0.0\ "/>
    <numFmt numFmtId="174" formatCode="_-* #,##0.0\ _€_-;\-* #,##0.0\ _€_-;_-* &quot;-&quot;??\ _€_-;_-@_-"/>
    <numFmt numFmtId="175" formatCode="\+0.00;\-0.00"/>
    <numFmt numFmtId="176" formatCode="\+0.00;\-0.00;General"/>
  </numFmts>
  <fonts count="8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i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9"/>
      <color indexed="12"/>
      <name val="Arial"/>
      <family val="2"/>
    </font>
    <font>
      <i/>
      <sz val="8"/>
      <color indexed="10"/>
      <name val="Arial"/>
      <family val="2"/>
    </font>
    <font>
      <i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sz val="10"/>
      <color indexed="48"/>
      <name val="Arial"/>
      <family val="2"/>
    </font>
    <font>
      <sz val="10"/>
      <color indexed="23"/>
      <name val="Arial"/>
      <family val="2"/>
    </font>
    <font>
      <sz val="10"/>
      <color indexed="54"/>
      <name val="Arial"/>
      <family val="2"/>
    </font>
    <font>
      <sz val="10"/>
      <color theme="6" tint="-0.499984740745262"/>
      <name val="Arial"/>
      <family val="2"/>
    </font>
    <font>
      <b/>
      <sz val="10"/>
      <color rgb="FFFF0000"/>
      <name val="Arial"/>
      <family val="2"/>
    </font>
    <font>
      <i/>
      <sz val="8"/>
      <color rgb="FFFF0000"/>
      <name val="Arial"/>
      <family val="2"/>
    </font>
    <font>
      <b/>
      <i/>
      <sz val="8"/>
      <color rgb="FFD60093"/>
      <name val="Arial"/>
      <family val="2"/>
    </font>
    <font>
      <i/>
      <sz val="8"/>
      <color rgb="FF00B050"/>
      <name val="Arial"/>
      <family val="2"/>
    </font>
    <font>
      <b/>
      <sz val="10"/>
      <color theme="4" tint="-0.249977111117893"/>
      <name val="Arial"/>
      <family val="2"/>
    </font>
    <font>
      <b/>
      <sz val="8"/>
      <color theme="4" tint="-0.249977111117893"/>
      <name val="Arial"/>
      <family val="2"/>
    </font>
    <font>
      <b/>
      <i/>
      <sz val="10"/>
      <name val="Arial"/>
      <family val="2"/>
    </font>
    <font>
      <sz val="8"/>
      <color theme="4" tint="-0.249977111117893"/>
      <name val="Arial"/>
      <family val="2"/>
    </font>
    <font>
      <b/>
      <sz val="7"/>
      <color theme="4" tint="-0.249977111117893"/>
      <name val="Arial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b/>
      <i/>
      <sz val="8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FFFF00"/>
      <name val="Arial"/>
      <family val="2"/>
    </font>
    <font>
      <sz val="10"/>
      <color rgb="FFFF0000"/>
      <name val="Arial"/>
      <family val="2"/>
    </font>
    <font>
      <b/>
      <sz val="9"/>
      <color rgb="FF0070C0"/>
      <name val="Arial"/>
      <family val="2"/>
    </font>
    <font>
      <sz val="9"/>
      <color rgb="FFFF0000"/>
      <name val="Arial"/>
      <family val="2"/>
    </font>
    <font>
      <b/>
      <u/>
      <sz val="10"/>
      <color rgb="FFFF0000"/>
      <name val="Arial"/>
      <family val="2"/>
    </font>
    <font>
      <b/>
      <u/>
      <sz val="10"/>
      <color rgb="FF00B050"/>
      <name val="Arial"/>
      <family val="2"/>
    </font>
    <font>
      <b/>
      <u/>
      <sz val="10"/>
      <color theme="6" tint="-0.249977111117893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i/>
      <sz val="9"/>
      <color theme="1"/>
      <name val="Arial"/>
      <family val="2"/>
    </font>
    <font>
      <sz val="9"/>
      <color theme="1"/>
      <name val="Wingdings"/>
      <charset val="2"/>
    </font>
    <font>
      <u/>
      <sz val="10"/>
      <color theme="10"/>
      <name val="Arial"/>
    </font>
    <font>
      <sz val="10"/>
      <color rgb="FF0070C0"/>
      <name val="Arial"/>
      <family val="2"/>
    </font>
    <font>
      <b/>
      <sz val="16"/>
      <color rgb="FF0070C0"/>
      <name val="Arial"/>
      <family val="2"/>
    </font>
    <font>
      <b/>
      <sz val="16"/>
      <color rgb="FF0000FF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4F81BD"/>
      </right>
      <top/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56" fillId="0" borderId="0" applyFont="0" applyFill="0" applyBorder="0" applyAlignment="0" applyProtection="0"/>
    <xf numFmtId="0" fontId="71" fillId="0" borderId="0" applyNumberFormat="0" applyFill="0" applyBorder="0" applyAlignment="0" applyProtection="0"/>
  </cellStyleXfs>
  <cellXfs count="544">
    <xf numFmtId="0" fontId="0" fillId="0" borderId="0" xfId="0"/>
    <xf numFmtId="0" fontId="3" fillId="0" borderId="0" xfId="0" applyFont="1"/>
    <xf numFmtId="165" fontId="0" fillId="0" borderId="0" xfId="0" applyNumberFormat="1"/>
    <xf numFmtId="0" fontId="5" fillId="0" borderId="3" xfId="0" applyFont="1" applyBorder="1"/>
    <xf numFmtId="0" fontId="7" fillId="0" borderId="0" xfId="0" applyFont="1"/>
    <xf numFmtId="166" fontId="5" fillId="0" borderId="12" xfId="0" applyNumberFormat="1" applyFont="1" applyBorder="1" applyAlignment="1">
      <alignment horizontal="right" indent="1"/>
    </xf>
    <xf numFmtId="0" fontId="8" fillId="0" borderId="0" xfId="0" applyFont="1"/>
    <xf numFmtId="0" fontId="0" fillId="0" borderId="0" xfId="0" applyAlignment="1">
      <alignment vertical="center"/>
    </xf>
    <xf numFmtId="0" fontId="0" fillId="0" borderId="14" xfId="0" applyBorder="1"/>
    <xf numFmtId="167" fontId="3" fillId="0" borderId="0" xfId="0" applyNumberFormat="1" applyFont="1"/>
    <xf numFmtId="166" fontId="0" fillId="0" borderId="0" xfId="0" applyNumberFormat="1"/>
    <xf numFmtId="166" fontId="8" fillId="0" borderId="0" xfId="0" applyNumberFormat="1" applyFont="1"/>
    <xf numFmtId="0" fontId="0" fillId="0" borderId="0" xfId="0" applyBorder="1"/>
    <xf numFmtId="0" fontId="11" fillId="0" borderId="0" xfId="0" applyFont="1" applyFill="1" applyBorder="1" applyAlignment="1">
      <alignment horizontal="centerContinuous"/>
    </xf>
    <xf numFmtId="3" fontId="12" fillId="0" borderId="0" xfId="0" quotePrefix="1" applyNumberFormat="1" applyFont="1" applyFill="1" applyBorder="1" applyAlignment="1">
      <alignment horizontal="centerContinuous" vertical="center"/>
    </xf>
    <xf numFmtId="3" fontId="13" fillId="0" borderId="0" xfId="0" quotePrefix="1" applyNumberFormat="1" applyFont="1" applyFill="1" applyBorder="1" applyAlignment="1">
      <alignment horizontal="centerContinuous"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3" fontId="12" fillId="0" borderId="0" xfId="0" quotePrefix="1" applyNumberFormat="1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/>
    </xf>
    <xf numFmtId="3" fontId="12" fillId="0" borderId="0" xfId="0" quotePrefix="1" applyNumberFormat="1" applyFont="1" applyBorder="1" applyAlignment="1">
      <alignment horizontal="centerContinuous" vertical="center"/>
    </xf>
    <xf numFmtId="3" fontId="13" fillId="0" borderId="0" xfId="0" quotePrefix="1" applyNumberFormat="1" applyFont="1" applyBorder="1" applyAlignment="1">
      <alignment horizontal="centerContinuous" vertical="center"/>
    </xf>
    <xf numFmtId="3" fontId="8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5" fillId="0" borderId="0" xfId="0" applyFont="1" applyBorder="1"/>
    <xf numFmtId="0" fontId="16" fillId="0" borderId="0" xfId="0" applyFont="1" applyBorder="1"/>
    <xf numFmtId="0" fontId="8" fillId="0" borderId="0" xfId="0" applyFont="1" applyBorder="1"/>
    <xf numFmtId="3" fontId="17" fillId="0" borderId="0" xfId="0" applyNumberFormat="1" applyFont="1" applyFill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0" fontId="5" fillId="4" borderId="14" xfId="0" applyNumberFormat="1" applyFont="1" applyFill="1" applyBorder="1" applyAlignment="1">
      <alignment horizontal="center" vertical="center"/>
    </xf>
    <xf numFmtId="0" fontId="18" fillId="4" borderId="14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1" fontId="19" fillId="0" borderId="14" xfId="1" applyNumberFormat="1" applyFont="1" applyFill="1" applyBorder="1" applyAlignment="1">
      <alignment horizontal="center" vertical="center"/>
    </xf>
    <xf numFmtId="1" fontId="20" fillId="0" borderId="14" xfId="1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25" xfId="0" applyFont="1" applyFill="1" applyBorder="1"/>
    <xf numFmtId="166" fontId="22" fillId="0" borderId="14" xfId="0" applyNumberFormat="1" applyFont="1" applyFill="1" applyBorder="1" applyAlignment="1">
      <alignment horizontal="center"/>
    </xf>
    <xf numFmtId="166" fontId="17" fillId="0" borderId="14" xfId="0" applyNumberFormat="1" applyFont="1" applyFill="1" applyBorder="1" applyAlignment="1">
      <alignment horizontal="center"/>
    </xf>
    <xf numFmtId="166" fontId="23" fillId="4" borderId="14" xfId="0" applyNumberFormat="1" applyFont="1" applyFill="1" applyBorder="1" applyAlignment="1">
      <alignment horizontal="center"/>
    </xf>
    <xf numFmtId="3" fontId="19" fillId="0" borderId="14" xfId="0" applyNumberFormat="1" applyFont="1" applyFill="1" applyBorder="1" applyAlignment="1">
      <alignment horizontal="center"/>
    </xf>
    <xf numFmtId="3" fontId="20" fillId="0" borderId="14" xfId="0" applyNumberFormat="1" applyFont="1" applyFill="1" applyBorder="1" applyAlignment="1">
      <alignment horizontal="center"/>
    </xf>
    <xf numFmtId="167" fontId="19" fillId="0" borderId="14" xfId="1" applyNumberFormat="1" applyFont="1" applyFill="1" applyBorder="1" applyAlignment="1">
      <alignment horizontal="center"/>
    </xf>
    <xf numFmtId="167" fontId="20" fillId="0" borderId="14" xfId="1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3" fontId="4" fillId="0" borderId="6" xfId="0" applyNumberFormat="1" applyFont="1" applyBorder="1"/>
    <xf numFmtId="166" fontId="17" fillId="0" borderId="14" xfId="0" applyNumberFormat="1" applyFont="1" applyBorder="1" applyAlignment="1">
      <alignment horizontal="center"/>
    </xf>
    <xf numFmtId="167" fontId="2" fillId="0" borderId="14" xfId="0" applyNumberFormat="1" applyFont="1" applyBorder="1" applyAlignment="1">
      <alignment horizontal="center"/>
    </xf>
    <xf numFmtId="167" fontId="24" fillId="0" borderId="14" xfId="0" applyNumberFormat="1" applyFont="1" applyBorder="1" applyAlignment="1">
      <alignment horizontal="center"/>
    </xf>
    <xf numFmtId="3" fontId="0" fillId="0" borderId="14" xfId="0" applyNumberFormat="1" applyBorder="1"/>
    <xf numFmtId="0" fontId="7" fillId="0" borderId="14" xfId="0" applyFont="1" applyBorder="1"/>
    <xf numFmtId="0" fontId="5" fillId="5" borderId="25" xfId="0" applyFont="1" applyFill="1" applyBorder="1"/>
    <xf numFmtId="166" fontId="5" fillId="5" borderId="14" xfId="0" applyNumberFormat="1" applyFont="1" applyFill="1" applyBorder="1"/>
    <xf numFmtId="166" fontId="18" fillId="4" borderId="14" xfId="0" applyNumberFormat="1" applyFont="1" applyFill="1" applyBorder="1"/>
    <xf numFmtId="167" fontId="25" fillId="5" borderId="14" xfId="0" applyNumberFormat="1" applyFont="1" applyFill="1" applyBorder="1" applyAlignment="1">
      <alignment horizontal="center"/>
    </xf>
    <xf numFmtId="167" fontId="26" fillId="5" borderId="14" xfId="0" applyNumberFormat="1" applyFont="1" applyFill="1" applyBorder="1" applyAlignment="1">
      <alignment horizontal="center"/>
    </xf>
    <xf numFmtId="167" fontId="25" fillId="5" borderId="14" xfId="1" applyNumberFormat="1" applyFont="1" applyFill="1" applyBorder="1" applyAlignment="1">
      <alignment horizontal="center"/>
    </xf>
    <xf numFmtId="167" fontId="26" fillId="5" borderId="14" xfId="1" applyNumberFormat="1" applyFont="1" applyFill="1" applyBorder="1" applyAlignment="1">
      <alignment horizontal="center"/>
    </xf>
    <xf numFmtId="167" fontId="25" fillId="0" borderId="0" xfId="0" applyNumberFormat="1" applyFont="1" applyFill="1" applyBorder="1" applyAlignment="1">
      <alignment horizontal="center"/>
    </xf>
    <xf numFmtId="3" fontId="5" fillId="5" borderId="26" xfId="0" applyNumberFormat="1" applyFont="1" applyFill="1" applyBorder="1"/>
    <xf numFmtId="167" fontId="27" fillId="5" borderId="14" xfId="0" applyNumberFormat="1" applyFont="1" applyFill="1" applyBorder="1" applyAlignment="1">
      <alignment horizontal="center"/>
    </xf>
    <xf numFmtId="167" fontId="28" fillId="5" borderId="14" xfId="0" applyNumberFormat="1" applyFont="1" applyFill="1" applyBorder="1" applyAlignment="1">
      <alignment horizontal="center"/>
    </xf>
    <xf numFmtId="167" fontId="27" fillId="5" borderId="14" xfId="1" applyNumberFormat="1" applyFont="1" applyFill="1" applyBorder="1" applyAlignment="1">
      <alignment horizontal="center"/>
    </xf>
    <xf numFmtId="167" fontId="28" fillId="5" borderId="14" xfId="1" applyNumberFormat="1" applyFont="1" applyFill="1" applyBorder="1" applyAlignment="1">
      <alignment horizontal="center"/>
    </xf>
    <xf numFmtId="0" fontId="25" fillId="0" borderId="0" xfId="0" applyFont="1"/>
    <xf numFmtId="0" fontId="5" fillId="0" borderId="25" xfId="0" applyFont="1" applyFill="1" applyBorder="1"/>
    <xf numFmtId="166" fontId="0" fillId="0" borderId="14" xfId="0" applyNumberFormat="1" applyFill="1" applyBorder="1"/>
    <xf numFmtId="166" fontId="9" fillId="0" borderId="14" xfId="0" applyNumberFormat="1" applyFont="1" applyFill="1" applyBorder="1"/>
    <xf numFmtId="167" fontId="19" fillId="0" borderId="14" xfId="0" applyNumberFormat="1" applyFont="1" applyFill="1" applyBorder="1" applyAlignment="1">
      <alignment horizontal="center"/>
    </xf>
    <xf numFmtId="167" fontId="20" fillId="0" borderId="14" xfId="0" applyNumberFormat="1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center"/>
    </xf>
    <xf numFmtId="3" fontId="4" fillId="0" borderId="26" xfId="0" applyNumberFormat="1" applyFont="1" applyBorder="1"/>
    <xf numFmtId="166" fontId="4" fillId="0" borderId="14" xfId="0" applyNumberFormat="1" applyFont="1" applyFill="1" applyBorder="1"/>
    <xf numFmtId="166" fontId="30" fillId="4" borderId="14" xfId="0" applyNumberFormat="1" applyFont="1" applyFill="1" applyBorder="1"/>
    <xf numFmtId="167" fontId="2" fillId="0" borderId="14" xfId="0" applyNumberFormat="1" applyFont="1" applyFill="1" applyBorder="1" applyAlignment="1">
      <alignment horizontal="center"/>
    </xf>
    <xf numFmtId="167" fontId="24" fillId="0" borderId="14" xfId="0" applyNumberFormat="1" applyFont="1" applyFill="1" applyBorder="1" applyAlignment="1">
      <alignment horizontal="center"/>
    </xf>
    <xf numFmtId="167" fontId="2" fillId="0" borderId="14" xfId="1" applyNumberFormat="1" applyFont="1" applyFill="1" applyBorder="1" applyAlignment="1">
      <alignment horizontal="center"/>
    </xf>
    <xf numFmtId="167" fontId="24" fillId="0" borderId="14" xfId="1" applyNumberFormat="1" applyFont="1" applyFill="1" applyBorder="1" applyAlignment="1">
      <alignment horizontal="center"/>
    </xf>
    <xf numFmtId="167" fontId="19" fillId="0" borderId="0" xfId="0" applyNumberFormat="1" applyFont="1" applyFill="1" applyBorder="1" applyAlignment="1">
      <alignment horizontal="center"/>
    </xf>
    <xf numFmtId="3" fontId="5" fillId="0" borderId="26" xfId="0" applyNumberFormat="1" applyFont="1" applyBorder="1"/>
    <xf numFmtId="3" fontId="4" fillId="0" borderId="14" xfId="0" applyNumberFormat="1" applyFont="1" applyFill="1" applyBorder="1"/>
    <xf numFmtId="165" fontId="5" fillId="5" borderId="14" xfId="0" applyNumberFormat="1" applyFont="1" applyFill="1" applyBorder="1"/>
    <xf numFmtId="165" fontId="4" fillId="0" borderId="14" xfId="0" applyNumberFormat="1" applyFont="1" applyFill="1" applyBorder="1"/>
    <xf numFmtId="10" fontId="25" fillId="0" borderId="0" xfId="0" applyNumberFormat="1" applyFont="1" applyFill="1" applyBorder="1" applyAlignment="1">
      <alignment horizontal="center"/>
    </xf>
    <xf numFmtId="3" fontId="5" fillId="0" borderId="26" xfId="0" applyNumberFormat="1" applyFont="1" applyFill="1" applyBorder="1"/>
    <xf numFmtId="0" fontId="12" fillId="0" borderId="0" xfId="0" applyFont="1"/>
    <xf numFmtId="10" fontId="4" fillId="0" borderId="14" xfId="0" applyNumberFormat="1" applyFont="1" applyFill="1" applyBorder="1"/>
    <xf numFmtId="10" fontId="17" fillId="0" borderId="0" xfId="0" applyNumberFormat="1" applyFont="1" applyFill="1" applyBorder="1" applyAlignment="1">
      <alignment horizontal="center"/>
    </xf>
    <xf numFmtId="0" fontId="17" fillId="0" borderId="0" xfId="0" applyFont="1"/>
    <xf numFmtId="165" fontId="5" fillId="0" borderId="14" xfId="0" applyNumberFormat="1" applyFont="1" applyFill="1" applyBorder="1"/>
    <xf numFmtId="167" fontId="25" fillId="0" borderId="14" xfId="0" applyNumberFormat="1" applyFont="1" applyFill="1" applyBorder="1" applyAlignment="1">
      <alignment horizontal="center"/>
    </xf>
    <xf numFmtId="167" fontId="26" fillId="0" borderId="14" xfId="0" applyNumberFormat="1" applyFont="1" applyFill="1" applyBorder="1" applyAlignment="1">
      <alignment horizontal="center"/>
    </xf>
    <xf numFmtId="167" fontId="25" fillId="0" borderId="14" xfId="1" applyNumberFormat="1" applyFont="1" applyFill="1" applyBorder="1" applyAlignment="1">
      <alignment horizontal="center"/>
    </xf>
    <xf numFmtId="167" fontId="26" fillId="0" borderId="14" xfId="1" applyNumberFormat="1" applyFont="1" applyFill="1" applyBorder="1" applyAlignment="1">
      <alignment horizontal="center"/>
    </xf>
    <xf numFmtId="9" fontId="25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5" fillId="6" borderId="14" xfId="0" applyFont="1" applyFill="1" applyBorder="1"/>
    <xf numFmtId="166" fontId="5" fillId="6" borderId="14" xfId="0" applyNumberFormat="1" applyFont="1" applyFill="1" applyBorder="1"/>
    <xf numFmtId="167" fontId="25" fillId="6" borderId="14" xfId="0" applyNumberFormat="1" applyFont="1" applyFill="1" applyBorder="1" applyAlignment="1">
      <alignment horizontal="center"/>
    </xf>
    <xf numFmtId="167" fontId="26" fillId="6" borderId="14" xfId="0" applyNumberFormat="1" applyFont="1" applyFill="1" applyBorder="1" applyAlignment="1">
      <alignment horizontal="center"/>
    </xf>
    <xf numFmtId="167" fontId="25" fillId="6" borderId="14" xfId="1" applyNumberFormat="1" applyFont="1" applyFill="1" applyBorder="1" applyAlignment="1">
      <alignment horizontal="center"/>
    </xf>
    <xf numFmtId="167" fontId="26" fillId="6" borderId="14" xfId="1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/>
    <xf numFmtId="0" fontId="9" fillId="0" borderId="0" xfId="0" applyFont="1" applyFill="1"/>
    <xf numFmtId="0" fontId="29" fillId="0" borderId="0" xfId="0" applyFont="1" applyFill="1"/>
    <xf numFmtId="166" fontId="2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66" fontId="0" fillId="0" borderId="0" xfId="0" applyNumberFormat="1" applyFill="1" applyBorder="1"/>
    <xf numFmtId="167" fontId="0" fillId="0" borderId="0" xfId="0" applyNumberFormat="1" applyFill="1"/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0" xfId="0" applyFill="1"/>
    <xf numFmtId="166" fontId="0" fillId="0" borderId="0" xfId="0" applyNumberFormat="1" applyFill="1"/>
    <xf numFmtId="3" fontId="5" fillId="0" borderId="28" xfId="0" applyNumberFormat="1" applyFont="1" applyBorder="1"/>
    <xf numFmtId="3" fontId="9" fillId="0" borderId="14" xfId="0" applyNumberFormat="1" applyFont="1" applyFill="1" applyBorder="1"/>
    <xf numFmtId="167" fontId="27" fillId="0" borderId="14" xfId="0" applyNumberFormat="1" applyFont="1" applyFill="1" applyBorder="1" applyAlignment="1">
      <alignment horizontal="center"/>
    </xf>
    <xf numFmtId="167" fontId="28" fillId="0" borderId="14" xfId="0" applyNumberFormat="1" applyFont="1" applyFill="1" applyBorder="1" applyAlignment="1">
      <alignment horizontal="center"/>
    </xf>
    <xf numFmtId="167" fontId="27" fillId="0" borderId="14" xfId="1" applyNumberFormat="1" applyFont="1" applyFill="1" applyBorder="1" applyAlignment="1">
      <alignment horizontal="center"/>
    </xf>
    <xf numFmtId="167" fontId="28" fillId="0" borderId="14" xfId="1" applyNumberFormat="1" applyFont="1" applyFill="1" applyBorder="1" applyAlignment="1">
      <alignment horizontal="center"/>
    </xf>
    <xf numFmtId="3" fontId="5" fillId="6" borderId="27" xfId="0" applyNumberFormat="1" applyFont="1" applyFill="1" applyBorder="1"/>
    <xf numFmtId="167" fontId="27" fillId="6" borderId="14" xfId="0" applyNumberFormat="1" applyFont="1" applyFill="1" applyBorder="1" applyAlignment="1">
      <alignment horizontal="center"/>
    </xf>
    <xf numFmtId="167" fontId="28" fillId="6" borderId="14" xfId="0" applyNumberFormat="1" applyFont="1" applyFill="1" applyBorder="1" applyAlignment="1">
      <alignment horizontal="center"/>
    </xf>
    <xf numFmtId="167" fontId="27" fillId="6" borderId="14" xfId="1" applyNumberFormat="1" applyFont="1" applyFill="1" applyBorder="1" applyAlignment="1">
      <alignment horizontal="center"/>
    </xf>
    <xf numFmtId="167" fontId="28" fillId="6" borderId="14" xfId="1" applyNumberFormat="1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 horizontal="center"/>
    </xf>
    <xf numFmtId="167" fontId="24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7" fillId="0" borderId="0" xfId="0" applyFont="1" applyBorder="1"/>
    <xf numFmtId="3" fontId="4" fillId="0" borderId="0" xfId="0" applyNumberFormat="1" applyFont="1" applyBorder="1"/>
    <xf numFmtId="3" fontId="4" fillId="0" borderId="0" xfId="0" applyNumberFormat="1" applyFont="1"/>
    <xf numFmtId="3" fontId="30" fillId="0" borderId="0" xfId="0" applyNumberFormat="1" applyFont="1"/>
    <xf numFmtId="167" fontId="2" fillId="0" borderId="0" xfId="0" applyNumberFormat="1" applyFont="1" applyAlignment="1">
      <alignment horizontal="center"/>
    </xf>
    <xf numFmtId="167" fontId="24" fillId="0" borderId="0" xfId="0" applyNumberFormat="1" applyFont="1" applyAlignment="1">
      <alignment horizontal="center"/>
    </xf>
    <xf numFmtId="0" fontId="1" fillId="0" borderId="0" xfId="0" applyFont="1"/>
    <xf numFmtId="166" fontId="4" fillId="0" borderId="0" xfId="0" applyNumberFormat="1" applyFont="1" applyBorder="1"/>
    <xf numFmtId="167" fontId="4" fillId="0" borderId="0" xfId="0" applyNumberFormat="1" applyFont="1"/>
    <xf numFmtId="3" fontId="0" fillId="0" borderId="0" xfId="0" applyNumberFormat="1"/>
    <xf numFmtId="3" fontId="29" fillId="0" borderId="0" xfId="0" applyNumberFormat="1" applyFont="1"/>
    <xf numFmtId="167" fontId="0" fillId="0" borderId="0" xfId="0" applyNumberFormat="1"/>
    <xf numFmtId="167" fontId="8" fillId="0" borderId="0" xfId="0" applyNumberFormat="1" applyFont="1"/>
    <xf numFmtId="165" fontId="8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 applyFill="1"/>
    <xf numFmtId="168" fontId="0" fillId="0" borderId="0" xfId="0" applyNumberFormat="1"/>
    <xf numFmtId="166" fontId="8" fillId="0" borderId="0" xfId="0" applyNumberFormat="1" applyFont="1" applyFill="1"/>
    <xf numFmtId="167" fontId="8" fillId="0" borderId="0" xfId="0" applyNumberFormat="1" applyFont="1" applyFill="1"/>
    <xf numFmtId="0" fontId="5" fillId="8" borderId="14" xfId="0" applyNumberFormat="1" applyFont="1" applyFill="1" applyBorder="1" applyAlignment="1">
      <alignment horizontal="center" vertical="center"/>
    </xf>
    <xf numFmtId="166" fontId="5" fillId="9" borderId="14" xfId="0" applyNumberFormat="1" applyFont="1" applyFill="1" applyBorder="1"/>
    <xf numFmtId="165" fontId="5" fillId="9" borderId="14" xfId="0" applyNumberFormat="1" applyFont="1" applyFill="1" applyBorder="1"/>
    <xf numFmtId="166" fontId="5" fillId="10" borderId="14" xfId="0" applyNumberFormat="1" applyFont="1" applyFill="1" applyBorder="1"/>
    <xf numFmtId="0" fontId="34" fillId="0" borderId="14" xfId="0" applyFont="1" applyBorder="1"/>
    <xf numFmtId="166" fontId="35" fillId="0" borderId="0" xfId="0" applyNumberFormat="1" applyFont="1"/>
    <xf numFmtId="0" fontId="36" fillId="0" borderId="0" xfId="0" applyFont="1"/>
    <xf numFmtId="165" fontId="0" fillId="0" borderId="0" xfId="0" applyNumberFormat="1" applyFill="1"/>
    <xf numFmtId="0" fontId="37" fillId="0" borderId="0" xfId="0" applyFont="1"/>
    <xf numFmtId="165" fontId="37" fillId="0" borderId="0" xfId="0" applyNumberFormat="1" applyFont="1"/>
    <xf numFmtId="0" fontId="38" fillId="0" borderId="0" xfId="0" applyFont="1"/>
    <xf numFmtId="165" fontId="38" fillId="0" borderId="0" xfId="0" applyNumberFormat="1" applyFont="1"/>
    <xf numFmtId="166" fontId="5" fillId="0" borderId="14" xfId="0" applyNumberFormat="1" applyFont="1" applyFill="1" applyBorder="1" applyAlignment="1">
      <alignment horizontal="center"/>
    </xf>
    <xf numFmtId="169" fontId="5" fillId="0" borderId="12" xfId="0" applyNumberFormat="1" applyFont="1" applyBorder="1" applyAlignment="1">
      <alignment horizontal="right" indent="1"/>
    </xf>
    <xf numFmtId="0" fontId="39" fillId="0" borderId="0" xfId="0" applyFont="1"/>
    <xf numFmtId="165" fontId="39" fillId="0" borderId="0" xfId="0" applyNumberFormat="1" applyFont="1"/>
    <xf numFmtId="0" fontId="0" fillId="8" borderId="0" xfId="0" applyFill="1"/>
    <xf numFmtId="166" fontId="0" fillId="8" borderId="0" xfId="0" applyNumberFormat="1" applyFill="1"/>
    <xf numFmtId="167" fontId="0" fillId="8" borderId="0" xfId="0" applyNumberFormat="1" applyFill="1"/>
    <xf numFmtId="165" fontId="0" fillId="8" borderId="0" xfId="0" applyNumberFormat="1" applyFill="1"/>
    <xf numFmtId="169" fontId="8" fillId="0" borderId="0" xfId="0" applyNumberFormat="1" applyFont="1"/>
    <xf numFmtId="169" fontId="0" fillId="0" borderId="0" xfId="0" applyNumberFormat="1" applyFill="1"/>
    <xf numFmtId="169" fontId="8" fillId="0" borderId="0" xfId="0" applyNumberFormat="1" applyFont="1" applyFill="1"/>
    <xf numFmtId="0" fontId="40" fillId="0" borderId="0" xfId="0" applyFont="1"/>
    <xf numFmtId="170" fontId="3" fillId="0" borderId="8" xfId="0" applyNumberFormat="1" applyFont="1" applyBorder="1" applyAlignment="1">
      <alignment horizontal="right" indent="1"/>
    </xf>
    <xf numFmtId="170" fontId="8" fillId="0" borderId="0" xfId="0" applyNumberFormat="1" applyFont="1"/>
    <xf numFmtId="0" fontId="41" fillId="0" borderId="0" xfId="0" applyFont="1"/>
    <xf numFmtId="166" fontId="0" fillId="0" borderId="14" xfId="0" applyNumberFormat="1" applyBorder="1"/>
    <xf numFmtId="0" fontId="8" fillId="0" borderId="14" xfId="0" applyFont="1" applyBorder="1" applyAlignment="1">
      <alignment horizontal="right"/>
    </xf>
    <xf numFmtId="166" fontId="8" fillId="0" borderId="14" xfId="0" applyNumberFormat="1" applyFont="1" applyBorder="1" applyAlignment="1">
      <alignment horizontal="right"/>
    </xf>
    <xf numFmtId="166" fontId="41" fillId="0" borderId="0" xfId="0" applyNumberFormat="1" applyFont="1" applyAlignment="1">
      <alignment horizontal="left"/>
    </xf>
    <xf numFmtId="0" fontId="3" fillId="0" borderId="25" xfId="0" applyFont="1" applyFill="1" applyBorder="1"/>
    <xf numFmtId="3" fontId="3" fillId="0" borderId="26" xfId="0" applyNumberFormat="1" applyFont="1" applyBorder="1"/>
    <xf numFmtId="1" fontId="22" fillId="0" borderId="0" xfId="0" applyNumberFormat="1" applyFont="1" applyFill="1" applyBorder="1" applyAlignment="1">
      <alignment horizontal="center"/>
    </xf>
    <xf numFmtId="166" fontId="42" fillId="0" borderId="0" xfId="0" applyNumberFormat="1" applyFont="1" applyFill="1" applyBorder="1" applyAlignment="1">
      <alignment horizontal="left" indent="1"/>
    </xf>
    <xf numFmtId="166" fontId="22" fillId="0" borderId="0" xfId="0" applyNumberFormat="1" applyFont="1" applyFill="1" applyBorder="1" applyAlignment="1">
      <alignment horizontal="left" indent="1"/>
    </xf>
    <xf numFmtId="166" fontId="42" fillId="0" borderId="0" xfId="0" applyNumberFormat="1" applyFont="1" applyFill="1" applyAlignment="1">
      <alignment horizontal="left" inden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/>
    <xf numFmtId="0" fontId="0" fillId="11" borderId="28" xfId="0" applyFill="1" applyBorder="1"/>
    <xf numFmtId="0" fontId="8" fillId="3" borderId="35" xfId="0" applyFont="1" applyFill="1" applyBorder="1" applyAlignment="1">
      <alignment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/>
    </xf>
    <xf numFmtId="3" fontId="3" fillId="0" borderId="41" xfId="0" applyNumberFormat="1" applyFont="1" applyBorder="1" applyAlignment="1">
      <alignment horizontal="right"/>
    </xf>
    <xf numFmtId="3" fontId="3" fillId="11" borderId="28" xfId="0" applyNumberFormat="1" applyFont="1" applyFill="1" applyBorder="1" applyAlignment="1">
      <alignment horizontal="right"/>
    </xf>
    <xf numFmtId="3" fontId="3" fillId="0" borderId="14" xfId="0" applyNumberFormat="1" applyFont="1" applyBorder="1" applyAlignment="1">
      <alignment horizontal="right" vertical="center"/>
    </xf>
    <xf numFmtId="0" fontId="1" fillId="0" borderId="38" xfId="0" applyFont="1" applyBorder="1"/>
    <xf numFmtId="0" fontId="1" fillId="0" borderId="38" xfId="0" applyFont="1" applyBorder="1" applyAlignment="1">
      <alignment wrapText="1"/>
    </xf>
    <xf numFmtId="0" fontId="1" fillId="0" borderId="40" xfId="0" applyFont="1" applyBorder="1"/>
    <xf numFmtId="169" fontId="3" fillId="0" borderId="14" xfId="0" applyNumberFormat="1" applyFont="1" applyBorder="1" applyAlignment="1">
      <alignment horizontal="right"/>
    </xf>
    <xf numFmtId="169" fontId="3" fillId="0" borderId="39" xfId="0" applyNumberFormat="1" applyFont="1" applyBorder="1" applyAlignment="1">
      <alignment horizontal="right"/>
    </xf>
    <xf numFmtId="169" fontId="3" fillId="0" borderId="41" xfId="0" applyNumberFormat="1" applyFont="1" applyBorder="1" applyAlignment="1">
      <alignment horizontal="right"/>
    </xf>
    <xf numFmtId="169" fontId="3" fillId="0" borderId="42" xfId="0" applyNumberFormat="1" applyFont="1" applyBorder="1" applyAlignment="1">
      <alignment horizontal="right"/>
    </xf>
    <xf numFmtId="169" fontId="3" fillId="11" borderId="28" xfId="0" applyNumberFormat="1" applyFont="1" applyFill="1" applyBorder="1" applyAlignment="1">
      <alignment horizontal="right"/>
    </xf>
    <xf numFmtId="0" fontId="43" fillId="0" borderId="0" xfId="0" applyFont="1"/>
    <xf numFmtId="0" fontId="44" fillId="0" borderId="0" xfId="0" applyFont="1" applyAlignment="1">
      <alignment horizontal="right"/>
    </xf>
    <xf numFmtId="0" fontId="44" fillId="0" borderId="0" xfId="0" applyFont="1"/>
    <xf numFmtId="0" fontId="42" fillId="0" borderId="0" xfId="0" applyFont="1" applyAlignment="1">
      <alignment horizontal="right"/>
    </xf>
    <xf numFmtId="0" fontId="42" fillId="0" borderId="0" xfId="0" applyFont="1"/>
    <xf numFmtId="166" fontId="41" fillId="0" borderId="0" xfId="0" applyNumberFormat="1" applyFont="1"/>
    <xf numFmtId="165" fontId="45" fillId="0" borderId="0" xfId="0" applyNumberFormat="1" applyFont="1"/>
    <xf numFmtId="0" fontId="3" fillId="14" borderId="47" xfId="0" applyFont="1" applyFill="1" applyBorder="1" applyAlignment="1">
      <alignment vertical="center" wrapText="1"/>
    </xf>
    <xf numFmtId="169" fontId="3" fillId="14" borderId="46" xfId="0" applyNumberFormat="1" applyFont="1" applyFill="1" applyBorder="1" applyAlignment="1">
      <alignment horizontal="right" vertical="center" wrapText="1"/>
    </xf>
    <xf numFmtId="0" fontId="3" fillId="15" borderId="47" xfId="0" applyFont="1" applyFill="1" applyBorder="1" applyAlignment="1">
      <alignment vertical="center" wrapText="1"/>
    </xf>
    <xf numFmtId="0" fontId="5" fillId="13" borderId="47" xfId="0" applyFont="1" applyFill="1" applyBorder="1" applyAlignment="1">
      <alignment horizontal="right" vertical="center" wrapText="1"/>
    </xf>
    <xf numFmtId="169" fontId="5" fillId="13" borderId="46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0" fillId="16" borderId="0" xfId="0" applyFill="1"/>
    <xf numFmtId="166" fontId="0" fillId="16" borderId="0" xfId="0" applyNumberFormat="1" applyFill="1"/>
    <xf numFmtId="167" fontId="0" fillId="16" borderId="0" xfId="0" applyNumberFormat="1" applyFill="1"/>
    <xf numFmtId="169" fontId="0" fillId="16" borderId="0" xfId="0" applyNumberFormat="1" applyFill="1"/>
    <xf numFmtId="165" fontId="0" fillId="16" borderId="0" xfId="0" applyNumberFormat="1" applyFill="1"/>
    <xf numFmtId="0" fontId="0" fillId="17" borderId="0" xfId="0" applyFill="1"/>
    <xf numFmtId="166" fontId="0" fillId="17" borderId="0" xfId="0" applyNumberFormat="1" applyFill="1"/>
    <xf numFmtId="167" fontId="0" fillId="17" borderId="0" xfId="0" applyNumberFormat="1" applyFill="1"/>
    <xf numFmtId="169" fontId="0" fillId="17" borderId="0" xfId="0" applyNumberFormat="1" applyFill="1"/>
    <xf numFmtId="165" fontId="0" fillId="17" borderId="0" xfId="0" applyNumberFormat="1" applyFill="1"/>
    <xf numFmtId="0" fontId="1" fillId="8" borderId="0" xfId="0" applyFont="1" applyFill="1"/>
    <xf numFmtId="165" fontId="8" fillId="0" borderId="0" xfId="0" applyNumberFormat="1" applyFont="1" applyFill="1"/>
    <xf numFmtId="0" fontId="0" fillId="0" borderId="0" xfId="0" applyAlignment="1">
      <alignment horizontal="center"/>
    </xf>
    <xf numFmtId="171" fontId="0" fillId="8" borderId="0" xfId="0" applyNumberFormat="1" applyFill="1"/>
    <xf numFmtId="171" fontId="0" fillId="0" borderId="0" xfId="0" applyNumberFormat="1" applyFill="1"/>
    <xf numFmtId="171" fontId="0" fillId="0" borderId="0" xfId="0" applyNumberFormat="1"/>
    <xf numFmtId="171" fontId="8" fillId="0" borderId="0" xfId="0" applyNumberFormat="1" applyFont="1"/>
    <xf numFmtId="0" fontId="48" fillId="0" borderId="53" xfId="0" applyFont="1" applyBorder="1" applyAlignment="1">
      <alignment horizontal="right" indent="1"/>
    </xf>
    <xf numFmtId="0" fontId="0" fillId="18" borderId="0" xfId="0" applyFill="1"/>
    <xf numFmtId="0" fontId="50" fillId="20" borderId="0" xfId="0" applyFont="1" applyFill="1" applyAlignment="1">
      <alignment vertical="center"/>
    </xf>
    <xf numFmtId="0" fontId="50" fillId="20" borderId="0" xfId="0" applyFont="1" applyFill="1" applyAlignment="1">
      <alignment horizontal="center" vertical="center" wrapText="1"/>
    </xf>
    <xf numFmtId="0" fontId="50" fillId="20" borderId="0" xfId="0" applyFont="1" applyFill="1" applyAlignment="1">
      <alignment horizontal="center" vertical="center"/>
    </xf>
    <xf numFmtId="166" fontId="8" fillId="0" borderId="14" xfId="0" applyNumberFormat="1" applyFont="1" applyBorder="1"/>
    <xf numFmtId="167" fontId="8" fillId="0" borderId="14" xfId="0" applyNumberFormat="1" applyFont="1" applyBorder="1" applyAlignment="1">
      <alignment horizontal="center"/>
    </xf>
    <xf numFmtId="0" fontId="0" fillId="0" borderId="54" xfId="0" applyBorder="1"/>
    <xf numFmtId="166" fontId="0" fillId="0" borderId="54" xfId="0" applyNumberFormat="1" applyBorder="1"/>
    <xf numFmtId="167" fontId="0" fillId="0" borderId="54" xfId="0" applyNumberFormat="1" applyBorder="1" applyAlignment="1">
      <alignment horizontal="center"/>
    </xf>
    <xf numFmtId="0" fontId="1" fillId="0" borderId="55" xfId="0" applyFont="1" applyBorder="1"/>
    <xf numFmtId="166" fontId="0" fillId="0" borderId="55" xfId="0" applyNumberFormat="1" applyBorder="1"/>
    <xf numFmtId="167" fontId="0" fillId="0" borderId="55" xfId="0" applyNumberFormat="1" applyBorder="1" applyAlignment="1">
      <alignment horizontal="center"/>
    </xf>
    <xf numFmtId="0" fontId="1" fillId="0" borderId="56" xfId="0" applyFont="1" applyBorder="1"/>
    <xf numFmtId="166" fontId="0" fillId="0" borderId="56" xfId="0" applyNumberFormat="1" applyBorder="1"/>
    <xf numFmtId="167" fontId="0" fillId="0" borderId="56" xfId="0" applyNumberFormat="1" applyBorder="1" applyAlignment="1">
      <alignment horizontal="center"/>
    </xf>
    <xf numFmtId="172" fontId="1" fillId="0" borderId="54" xfId="0" quotePrefix="1" applyNumberFormat="1" applyFont="1" applyBorder="1" applyAlignment="1">
      <alignment horizontal="center"/>
    </xf>
    <xf numFmtId="172" fontId="1" fillId="0" borderId="55" xfId="0" quotePrefix="1" applyNumberFormat="1" applyFont="1" applyBorder="1" applyAlignment="1">
      <alignment horizontal="center"/>
    </xf>
    <xf numFmtId="172" fontId="0" fillId="0" borderId="55" xfId="0" applyNumberFormat="1" applyBorder="1" applyAlignment="1">
      <alignment horizontal="center"/>
    </xf>
    <xf numFmtId="172" fontId="1" fillId="0" borderId="56" xfId="0" quotePrefix="1" applyNumberFormat="1" applyFont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165" fontId="42" fillId="0" borderId="0" xfId="0" applyNumberFormat="1" applyFont="1"/>
    <xf numFmtId="166" fontId="43" fillId="0" borderId="0" xfId="0" applyNumberFormat="1" applyFont="1"/>
    <xf numFmtId="0" fontId="8" fillId="0" borderId="0" xfId="0" applyFont="1" applyFill="1" applyAlignment="1">
      <alignment horizontal="center"/>
    </xf>
    <xf numFmtId="0" fontId="47" fillId="0" borderId="0" xfId="0" applyFont="1" applyFill="1"/>
    <xf numFmtId="166" fontId="47" fillId="0" borderId="0" xfId="0" applyNumberFormat="1" applyFont="1" applyFill="1"/>
    <xf numFmtId="167" fontId="47" fillId="0" borderId="0" xfId="0" applyNumberFormat="1" applyFont="1" applyFill="1"/>
    <xf numFmtId="0" fontId="46" fillId="0" borderId="53" xfId="0" applyFont="1" applyBorder="1" applyAlignment="1">
      <alignment horizontal="right" indent="1"/>
    </xf>
    <xf numFmtId="3" fontId="3" fillId="18" borderId="39" xfId="0" applyNumberFormat="1" applyFont="1" applyFill="1" applyBorder="1" applyAlignment="1">
      <alignment horizontal="right"/>
    </xf>
    <xf numFmtId="3" fontId="3" fillId="18" borderId="14" xfId="0" applyNumberFormat="1" applyFont="1" applyFill="1" applyBorder="1" applyAlignment="1">
      <alignment horizontal="right" vertical="center"/>
    </xf>
    <xf numFmtId="0" fontId="8" fillId="0" borderId="6" xfId="0" applyFont="1" applyBorder="1"/>
    <xf numFmtId="166" fontId="0" fillId="8" borderId="26" xfId="0" applyNumberFormat="1" applyFill="1" applyBorder="1"/>
    <xf numFmtId="166" fontId="0" fillId="0" borderId="26" xfId="0" applyNumberFormat="1" applyFill="1" applyBorder="1"/>
    <xf numFmtId="166" fontId="0" fillId="0" borderId="26" xfId="0" applyNumberFormat="1" applyBorder="1"/>
    <xf numFmtId="166" fontId="8" fillId="0" borderId="28" xfId="0" applyNumberFormat="1" applyFont="1" applyBorder="1"/>
    <xf numFmtId="0" fontId="8" fillId="0" borderId="15" xfId="0" applyFont="1" applyBorder="1"/>
    <xf numFmtId="0" fontId="8" fillId="0" borderId="57" xfId="0" applyFont="1" applyBorder="1"/>
    <xf numFmtId="167" fontId="0" fillId="8" borderId="25" xfId="0" applyNumberFormat="1" applyFill="1" applyBorder="1"/>
    <xf numFmtId="167" fontId="0" fillId="0" borderId="25" xfId="0" applyNumberFormat="1" applyFill="1" applyBorder="1"/>
    <xf numFmtId="167" fontId="0" fillId="0" borderId="25" xfId="0" applyNumberFormat="1" applyBorder="1"/>
    <xf numFmtId="167" fontId="8" fillId="0" borderId="59" xfId="0" applyNumberFormat="1" applyFont="1" applyBorder="1"/>
    <xf numFmtId="171" fontId="8" fillId="0" borderId="60" xfId="0" applyNumberFormat="1" applyFont="1" applyBorder="1"/>
    <xf numFmtId="9" fontId="3" fillId="0" borderId="0" xfId="1" applyFont="1"/>
    <xf numFmtId="9" fontId="0" fillId="0" borderId="0" xfId="1" applyFont="1"/>
    <xf numFmtId="3" fontId="3" fillId="18" borderId="42" xfId="0" applyNumberFormat="1" applyFont="1" applyFill="1" applyBorder="1" applyAlignment="1">
      <alignment horizontal="right"/>
    </xf>
    <xf numFmtId="3" fontId="3" fillId="0" borderId="39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166" fontId="3" fillId="0" borderId="14" xfId="0" applyNumberFormat="1" applyFont="1" applyFill="1" applyBorder="1"/>
    <xf numFmtId="165" fontId="3" fillId="0" borderId="14" xfId="0" applyNumberFormat="1" applyFont="1" applyFill="1" applyBorder="1"/>
    <xf numFmtId="166" fontId="13" fillId="0" borderId="0" xfId="0" quotePrefix="1" applyNumberFormat="1" applyFont="1" applyBorder="1" applyAlignment="1">
      <alignment horizontal="centerContinuous" vertical="center"/>
    </xf>
    <xf numFmtId="2" fontId="0" fillId="0" borderId="0" xfId="0" applyNumberFormat="1"/>
    <xf numFmtId="3" fontId="3" fillId="18" borderId="14" xfId="0" applyNumberFormat="1" applyFont="1" applyFill="1" applyBorder="1" applyAlignment="1">
      <alignment horizontal="right"/>
    </xf>
    <xf numFmtId="167" fontId="3" fillId="18" borderId="14" xfId="1" applyNumberFormat="1" applyFont="1" applyFill="1" applyBorder="1" applyAlignment="1">
      <alignment horizontal="right"/>
    </xf>
    <xf numFmtId="166" fontId="54" fillId="4" borderId="14" xfId="0" applyNumberFormat="1" applyFont="1" applyFill="1" applyBorder="1"/>
    <xf numFmtId="0" fontId="55" fillId="0" borderId="0" xfId="0" applyFont="1"/>
    <xf numFmtId="165" fontId="7" fillId="0" borderId="0" xfId="0" applyNumberFormat="1" applyFont="1" applyFill="1"/>
    <xf numFmtId="165" fontId="37" fillId="0" borderId="0" xfId="0" applyNumberFormat="1" applyFont="1" applyFill="1"/>
    <xf numFmtId="165" fontId="38" fillId="0" borderId="0" xfId="0" applyNumberFormat="1" applyFont="1" applyFill="1"/>
    <xf numFmtId="165" fontId="40" fillId="0" borderId="0" xfId="0" applyNumberFormat="1" applyFont="1" applyFill="1"/>
    <xf numFmtId="174" fontId="5" fillId="13" borderId="46" xfId="2" applyNumberFormat="1" applyFont="1" applyFill="1" applyBorder="1" applyAlignment="1">
      <alignment horizontal="right" vertical="center" wrapText="1"/>
    </xf>
    <xf numFmtId="169" fontId="0" fillId="17" borderId="61" xfId="0" applyNumberFormat="1" applyFill="1" applyBorder="1"/>
    <xf numFmtId="169" fontId="0" fillId="16" borderId="63" xfId="0" applyNumberFormat="1" applyFill="1" applyBorder="1"/>
    <xf numFmtId="169" fontId="0" fillId="17" borderId="63" xfId="0" applyNumberFormat="1" applyFill="1" applyBorder="1"/>
    <xf numFmtId="169" fontId="0" fillId="0" borderId="63" xfId="0" applyNumberFormat="1" applyFill="1" applyBorder="1"/>
    <xf numFmtId="3" fontId="26" fillId="0" borderId="0" xfId="0" applyNumberFormat="1" applyFont="1" applyBorder="1" applyAlignment="1">
      <alignment horizontal="right"/>
    </xf>
    <xf numFmtId="0" fontId="0" fillId="0" borderId="14" xfId="0" applyFill="1" applyBorder="1"/>
    <xf numFmtId="166" fontId="54" fillId="0" borderId="14" xfId="0" applyNumberFormat="1" applyFont="1" applyFill="1" applyBorder="1"/>
    <xf numFmtId="166" fontId="30" fillId="0" borderId="14" xfId="0" applyNumberFormat="1" applyFont="1" applyFill="1" applyBorder="1"/>
    <xf numFmtId="166" fontId="5" fillId="8" borderId="14" xfId="0" applyNumberFormat="1" applyFont="1" applyFill="1" applyBorder="1" applyAlignment="1">
      <alignment horizontal="center"/>
    </xf>
    <xf numFmtId="9" fontId="25" fillId="0" borderId="14" xfId="1" applyFont="1" applyFill="1" applyBorder="1" applyAlignment="1">
      <alignment horizontal="center"/>
    </xf>
    <xf numFmtId="9" fontId="26" fillId="0" borderId="14" xfId="1" applyFont="1" applyFill="1" applyBorder="1" applyAlignment="1">
      <alignment horizontal="center"/>
    </xf>
    <xf numFmtId="166" fontId="57" fillId="9" borderId="14" xfId="0" applyNumberFormat="1" applyFont="1" applyFill="1" applyBorder="1"/>
    <xf numFmtId="166" fontId="5" fillId="0" borderId="12" xfId="0" applyNumberFormat="1" applyFont="1" applyFill="1" applyBorder="1" applyAlignment="1">
      <alignment horizontal="right" indent="1"/>
    </xf>
    <xf numFmtId="0" fontId="59" fillId="0" borderId="0" xfId="0" applyFont="1"/>
    <xf numFmtId="0" fontId="58" fillId="8" borderId="0" xfId="0" applyFont="1" applyFill="1"/>
    <xf numFmtId="0" fontId="58" fillId="0" borderId="0" xfId="0" applyFont="1" applyFill="1"/>
    <xf numFmtId="0" fontId="58" fillId="0" borderId="0" xfId="0" applyFont="1"/>
    <xf numFmtId="166" fontId="29" fillId="0" borderId="14" xfId="0" applyNumberFormat="1" applyFont="1" applyFill="1" applyBorder="1"/>
    <xf numFmtId="165" fontId="30" fillId="0" borderId="14" xfId="0" applyNumberFormat="1" applyFont="1" applyFill="1" applyBorder="1"/>
    <xf numFmtId="10" fontId="30" fillId="0" borderId="14" xfId="0" applyNumberFormat="1" applyFont="1" applyFill="1" applyBorder="1"/>
    <xf numFmtId="165" fontId="54" fillId="8" borderId="14" xfId="0" applyNumberFormat="1" applyFont="1" applyFill="1" applyBorder="1"/>
    <xf numFmtId="166" fontId="54" fillId="8" borderId="14" xfId="0" applyNumberFormat="1" applyFont="1" applyFill="1" applyBorder="1"/>
    <xf numFmtId="165" fontId="18" fillId="0" borderId="14" xfId="0" applyNumberFormat="1" applyFont="1" applyFill="1" applyBorder="1"/>
    <xf numFmtId="3" fontId="30" fillId="0" borderId="14" xfId="0" applyNumberFormat="1" applyFont="1" applyFill="1" applyBorder="1"/>
    <xf numFmtId="166" fontId="3" fillId="8" borderId="14" xfId="0" applyNumberFormat="1" applyFont="1" applyFill="1" applyBorder="1"/>
    <xf numFmtId="3" fontId="29" fillId="0" borderId="14" xfId="0" applyNumberFormat="1" applyFont="1" applyFill="1" applyBorder="1"/>
    <xf numFmtId="3" fontId="60" fillId="20" borderId="0" xfId="0" applyNumberFormat="1" applyFont="1" applyFill="1"/>
    <xf numFmtId="166" fontId="60" fillId="20" borderId="0" xfId="0" applyNumberFormat="1" applyFont="1" applyFill="1"/>
    <xf numFmtId="3" fontId="3" fillId="0" borderId="0" xfId="0" applyNumberFormat="1" applyFont="1"/>
    <xf numFmtId="3" fontId="60" fillId="0" borderId="0" xfId="0" applyNumberFormat="1" applyFont="1"/>
    <xf numFmtId="3" fontId="1" fillId="0" borderId="0" xfId="0" applyNumberFormat="1" applyFont="1"/>
    <xf numFmtId="3" fontId="8" fillId="18" borderId="14" xfId="0" applyNumberFormat="1" applyFont="1" applyFill="1" applyBorder="1" applyAlignment="1">
      <alignment horizontal="right"/>
    </xf>
    <xf numFmtId="167" fontId="8" fillId="18" borderId="14" xfId="1" applyNumberFormat="1" applyFont="1" applyFill="1" applyBorder="1" applyAlignment="1">
      <alignment horizontal="right"/>
    </xf>
    <xf numFmtId="167" fontId="60" fillId="20" borderId="0" xfId="1" applyNumberFormat="1" applyFont="1" applyFill="1"/>
    <xf numFmtId="169" fontId="62" fillId="0" borderId="39" xfId="0" applyNumberFormat="1" applyFont="1" applyBorder="1" applyAlignment="1">
      <alignment horizontal="right"/>
    </xf>
    <xf numFmtId="169" fontId="62" fillId="0" borderId="42" xfId="0" applyNumberFormat="1" applyFont="1" applyBorder="1" applyAlignment="1">
      <alignment horizontal="right"/>
    </xf>
    <xf numFmtId="169" fontId="62" fillId="11" borderId="28" xfId="0" applyNumberFormat="1" applyFont="1" applyFill="1" applyBorder="1" applyAlignment="1">
      <alignment horizontal="right"/>
    </xf>
    <xf numFmtId="169" fontId="62" fillId="0" borderId="14" xfId="0" applyNumberFormat="1" applyFont="1" applyBorder="1" applyAlignment="1">
      <alignment horizontal="right"/>
    </xf>
    <xf numFmtId="166" fontId="63" fillId="0" borderId="14" xfId="0" applyNumberFormat="1" applyFont="1" applyFill="1" applyBorder="1"/>
    <xf numFmtId="166" fontId="63" fillId="4" borderId="14" xfId="0" applyNumberFormat="1" applyFont="1" applyFill="1" applyBorder="1"/>
    <xf numFmtId="165" fontId="63" fillId="0" borderId="14" xfId="0" applyNumberFormat="1" applyFont="1" applyFill="1" applyBorder="1"/>
    <xf numFmtId="165" fontId="63" fillId="8" borderId="14" xfId="0" applyNumberFormat="1" applyFont="1" applyFill="1" applyBorder="1"/>
    <xf numFmtId="166" fontId="63" fillId="8" borderId="14" xfId="0" applyNumberFormat="1" applyFont="1" applyFill="1" applyBorder="1"/>
    <xf numFmtId="165" fontId="54" fillId="0" borderId="14" xfId="0" applyNumberFormat="1" applyFont="1" applyFill="1" applyBorder="1"/>
    <xf numFmtId="0" fontId="1" fillId="0" borderId="0" xfId="0" applyFont="1" applyFill="1" applyBorder="1"/>
    <xf numFmtId="174" fontId="3" fillId="14" borderId="46" xfId="2" applyNumberFormat="1" applyFont="1" applyFill="1" applyBorder="1" applyAlignment="1">
      <alignment horizontal="right" vertical="center" wrapText="1"/>
    </xf>
    <xf numFmtId="174" fontId="3" fillId="15" borderId="46" xfId="2" applyNumberFormat="1" applyFont="1" applyFill="1" applyBorder="1" applyAlignment="1">
      <alignment horizontal="right" vertical="center" wrapText="1"/>
    </xf>
    <xf numFmtId="0" fontId="8" fillId="21" borderId="14" xfId="0" applyFont="1" applyFill="1" applyBorder="1" applyAlignment="1">
      <alignment horizontal="right"/>
    </xf>
    <xf numFmtId="166" fontId="8" fillId="21" borderId="14" xfId="0" applyNumberFormat="1" applyFont="1" applyFill="1" applyBorder="1" applyAlignment="1">
      <alignment horizontal="right"/>
    </xf>
    <xf numFmtId="0" fontId="64" fillId="0" borderId="0" xfId="0" applyFont="1"/>
    <xf numFmtId="0" fontId="65" fillId="0" borderId="0" xfId="0" applyFont="1"/>
    <xf numFmtId="0" fontId="66" fillId="0" borderId="0" xfId="0" applyFont="1"/>
    <xf numFmtId="3" fontId="5" fillId="22" borderId="39" xfId="0" applyNumberFormat="1" applyFont="1" applyFill="1" applyBorder="1" applyAlignment="1">
      <alignment horizontal="right"/>
    </xf>
    <xf numFmtId="3" fontId="5" fillId="22" borderId="42" xfId="0" applyNumberFormat="1" applyFont="1" applyFill="1" applyBorder="1" applyAlignment="1">
      <alignment horizontal="right"/>
    </xf>
    <xf numFmtId="3" fontId="35" fillId="22" borderId="28" xfId="0" applyNumberFormat="1" applyFont="1" applyFill="1" applyBorder="1" applyAlignment="1">
      <alignment horizontal="right"/>
    </xf>
    <xf numFmtId="3" fontId="5" fillId="22" borderId="14" xfId="0" applyNumberFormat="1" applyFont="1" applyFill="1" applyBorder="1" applyAlignment="1">
      <alignment horizontal="right" vertical="center"/>
    </xf>
    <xf numFmtId="3" fontId="5" fillId="22" borderId="14" xfId="0" applyNumberFormat="1" applyFont="1" applyFill="1" applyBorder="1" applyAlignment="1">
      <alignment horizontal="right"/>
    </xf>
    <xf numFmtId="175" fontId="0" fillId="8" borderId="58" xfId="0" applyNumberFormat="1" applyFill="1" applyBorder="1"/>
    <xf numFmtId="175" fontId="0" fillId="0" borderId="58" xfId="0" applyNumberFormat="1" applyFill="1" applyBorder="1"/>
    <xf numFmtId="175" fontId="0" fillId="0" borderId="58" xfId="0" applyNumberFormat="1" applyBorder="1"/>
    <xf numFmtId="2" fontId="0" fillId="17" borderId="62" xfId="0" applyNumberFormat="1" applyFill="1" applyBorder="1"/>
    <xf numFmtId="2" fontId="0" fillId="16" borderId="64" xfId="0" applyNumberFormat="1" applyFill="1" applyBorder="1"/>
    <xf numFmtId="2" fontId="0" fillId="17" borderId="64" xfId="0" applyNumberFormat="1" applyFill="1" applyBorder="1"/>
    <xf numFmtId="2" fontId="0" fillId="0" borderId="64" xfId="0" applyNumberFormat="1" applyFill="1" applyBorder="1"/>
    <xf numFmtId="175" fontId="0" fillId="8" borderId="0" xfId="0" applyNumberFormat="1" applyFill="1"/>
    <xf numFmtId="175" fontId="0" fillId="0" borderId="0" xfId="0" applyNumberFormat="1" applyFill="1"/>
    <xf numFmtId="175" fontId="8" fillId="0" borderId="0" xfId="0" applyNumberFormat="1" applyFont="1" applyFill="1"/>
    <xf numFmtId="4" fontId="8" fillId="21" borderId="14" xfId="0" applyNumberFormat="1" applyFont="1" applyFill="1" applyBorder="1" applyAlignment="1">
      <alignment horizontal="right"/>
    </xf>
    <xf numFmtId="4" fontId="0" fillId="0" borderId="14" xfId="0" applyNumberFormat="1" applyFill="1" applyBorder="1"/>
    <xf numFmtId="3" fontId="8" fillId="22" borderId="14" xfId="0" applyNumberFormat="1" applyFont="1" applyFill="1" applyBorder="1"/>
    <xf numFmtId="0" fontId="67" fillId="0" borderId="0" xfId="0" applyFont="1"/>
    <xf numFmtId="174" fontId="67" fillId="0" borderId="0" xfId="2" applyNumberFormat="1" applyFont="1"/>
    <xf numFmtId="0" fontId="5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8" fillId="0" borderId="65" xfId="0" applyFont="1" applyFill="1" applyBorder="1"/>
    <xf numFmtId="166" fontId="8" fillId="0" borderId="29" xfId="0" applyNumberFormat="1" applyFont="1" applyFill="1" applyBorder="1"/>
    <xf numFmtId="167" fontId="8" fillId="0" borderId="29" xfId="0" applyNumberFormat="1" applyFont="1" applyFill="1" applyBorder="1"/>
    <xf numFmtId="169" fontId="8" fillId="0" borderId="29" xfId="0" applyNumberFormat="1" applyFont="1" applyFill="1" applyBorder="1"/>
    <xf numFmtId="165" fontId="8" fillId="0" borderId="22" xfId="0" applyNumberFormat="1" applyFont="1" applyBorder="1"/>
    <xf numFmtId="0" fontId="8" fillId="0" borderId="61" xfId="0" applyFont="1" applyBorder="1"/>
    <xf numFmtId="0" fontId="8" fillId="0" borderId="66" xfId="0" applyFont="1" applyBorder="1"/>
    <xf numFmtId="0" fontId="8" fillId="0" borderId="66" xfId="0" applyFont="1" applyBorder="1" applyAlignment="1">
      <alignment horizontal="center"/>
    </xf>
    <xf numFmtId="0" fontId="8" fillId="0" borderId="62" xfId="0" applyFont="1" applyBorder="1"/>
    <xf numFmtId="0" fontId="0" fillId="17" borderId="63" xfId="0" applyFill="1" applyBorder="1"/>
    <xf numFmtId="166" fontId="0" fillId="17" borderId="0" xfId="0" applyNumberFormat="1" applyFill="1" applyBorder="1"/>
    <xf numFmtId="167" fontId="0" fillId="17" borderId="0" xfId="0" applyNumberFormat="1" applyFill="1" applyBorder="1"/>
    <xf numFmtId="0" fontId="0" fillId="16" borderId="63" xfId="0" applyFill="1" applyBorder="1"/>
    <xf numFmtId="166" fontId="0" fillId="16" borderId="0" xfId="0" applyNumberFormat="1" applyFill="1" applyBorder="1"/>
    <xf numFmtId="167" fontId="0" fillId="16" borderId="0" xfId="0" applyNumberFormat="1" applyFill="1" applyBorder="1"/>
    <xf numFmtId="0" fontId="0" fillId="0" borderId="63" xfId="0" applyFill="1" applyBorder="1"/>
    <xf numFmtId="167" fontId="0" fillId="0" borderId="0" xfId="0" applyNumberFormat="1" applyFill="1" applyBorder="1"/>
    <xf numFmtId="0" fontId="1" fillId="0" borderId="63" xfId="0" applyFont="1" applyFill="1" applyBorder="1"/>
    <xf numFmtId="0" fontId="1" fillId="17" borderId="63" xfId="0" applyFont="1" applyFill="1" applyBorder="1"/>
    <xf numFmtId="0" fontId="59" fillId="0" borderId="15" xfId="0" applyFont="1" applyBorder="1"/>
    <xf numFmtId="0" fontId="58" fillId="0" borderId="25" xfId="0" applyFont="1" applyFill="1" applyBorder="1"/>
    <xf numFmtId="171" fontId="0" fillId="0" borderId="58" xfId="0" applyNumberFormat="1" applyFill="1" applyBorder="1"/>
    <xf numFmtId="173" fontId="0" fillId="0" borderId="58" xfId="0" applyNumberFormat="1" applyFill="1" applyBorder="1"/>
    <xf numFmtId="0" fontId="59" fillId="0" borderId="59" xfId="0" applyFont="1" applyFill="1" applyBorder="1"/>
    <xf numFmtId="0" fontId="0" fillId="8" borderId="63" xfId="0" applyFill="1" applyBorder="1"/>
    <xf numFmtId="166" fontId="0" fillId="8" borderId="0" xfId="0" applyNumberFormat="1" applyFill="1" applyBorder="1"/>
    <xf numFmtId="167" fontId="0" fillId="8" borderId="0" xfId="0" applyNumberFormat="1" applyFill="1" applyBorder="1"/>
    <xf numFmtId="169" fontId="0" fillId="8" borderId="0" xfId="0" applyNumberFormat="1" applyFill="1" applyBorder="1"/>
    <xf numFmtId="165" fontId="0" fillId="8" borderId="64" xfId="0" applyNumberFormat="1" applyFill="1" applyBorder="1"/>
    <xf numFmtId="0" fontId="1" fillId="8" borderId="63" xfId="0" applyFont="1" applyFill="1" applyBorder="1"/>
    <xf numFmtId="169" fontId="0" fillId="0" borderId="0" xfId="0" applyNumberFormat="1" applyFill="1" applyBorder="1"/>
    <xf numFmtId="165" fontId="0" fillId="0" borderId="64" xfId="0" applyNumberFormat="1" applyFill="1" applyBorder="1"/>
    <xf numFmtId="0" fontId="0" fillId="0" borderId="63" xfId="0" applyBorder="1"/>
    <xf numFmtId="166" fontId="0" fillId="0" borderId="0" xfId="0" applyNumberFormat="1" applyBorder="1"/>
    <xf numFmtId="167" fontId="0" fillId="0" borderId="0" xfId="0" applyNumberFormat="1" applyBorder="1"/>
    <xf numFmtId="169" fontId="0" fillId="0" borderId="0" xfId="0" applyNumberFormat="1" applyBorder="1"/>
    <xf numFmtId="165" fontId="0" fillId="0" borderId="64" xfId="0" applyNumberFormat="1" applyBorder="1"/>
    <xf numFmtId="0" fontId="8" fillId="0" borderId="65" xfId="0" applyFont="1" applyBorder="1"/>
    <xf numFmtId="166" fontId="8" fillId="0" borderId="29" xfId="0" applyNumberFormat="1" applyFont="1" applyBorder="1"/>
    <xf numFmtId="166" fontId="8" fillId="0" borderId="13" xfId="0" applyNumberFormat="1" applyFont="1" applyBorder="1"/>
    <xf numFmtId="167" fontId="8" fillId="0" borderId="29" xfId="0" applyNumberFormat="1" applyFont="1" applyBorder="1"/>
    <xf numFmtId="169" fontId="8" fillId="0" borderId="29" xfId="0" applyNumberFormat="1" applyFont="1" applyBorder="1"/>
    <xf numFmtId="0" fontId="8" fillId="0" borderId="29" xfId="0" applyFont="1" applyBorder="1"/>
    <xf numFmtId="0" fontId="8" fillId="0" borderId="13" xfId="0" applyFont="1" applyBorder="1"/>
    <xf numFmtId="0" fontId="8" fillId="0" borderId="29" xfId="0" applyFont="1" applyBorder="1" applyAlignment="1">
      <alignment horizontal="center"/>
    </xf>
    <xf numFmtId="0" fontId="8" fillId="0" borderId="22" xfId="0" applyFont="1" applyBorder="1"/>
    <xf numFmtId="0" fontId="0" fillId="0" borderId="15" xfId="0" applyBorder="1"/>
    <xf numFmtId="0" fontId="0" fillId="0" borderId="32" xfId="0" applyBorder="1"/>
    <xf numFmtId="166" fontId="0" fillId="0" borderId="32" xfId="0" applyNumberFormat="1" applyBorder="1"/>
    <xf numFmtId="167" fontId="0" fillId="0" borderId="57" xfId="0" applyNumberFormat="1" applyBorder="1"/>
    <xf numFmtId="0" fontId="0" fillId="0" borderId="59" xfId="0" applyBorder="1"/>
    <xf numFmtId="0" fontId="0" fillId="0" borderId="67" xfId="0" applyBorder="1"/>
    <xf numFmtId="166" fontId="0" fillId="0" borderId="67" xfId="0" applyNumberFormat="1" applyBorder="1"/>
    <xf numFmtId="167" fontId="0" fillId="0" borderId="60" xfId="0" applyNumberFormat="1" applyBorder="1"/>
    <xf numFmtId="0" fontId="68" fillId="0" borderId="0" xfId="0" applyFont="1"/>
    <xf numFmtId="0" fontId="8" fillId="0" borderId="32" xfId="0" applyFont="1" applyBorder="1"/>
    <xf numFmtId="0" fontId="8" fillId="0" borderId="32" xfId="0" applyFont="1" applyBorder="1" applyAlignment="1">
      <alignment horizontal="center"/>
    </xf>
    <xf numFmtId="0" fontId="1" fillId="8" borderId="25" xfId="0" applyFont="1" applyFill="1" applyBorder="1"/>
    <xf numFmtId="0" fontId="1" fillId="0" borderId="25" xfId="0" applyFont="1" applyFill="1" applyBorder="1"/>
    <xf numFmtId="0" fontId="0" fillId="0" borderId="25" xfId="0" applyBorder="1"/>
    <xf numFmtId="0" fontId="0" fillId="8" borderId="25" xfId="0" applyFill="1" applyBorder="1"/>
    <xf numFmtId="0" fontId="8" fillId="0" borderId="59" xfId="0" applyFont="1" applyBorder="1"/>
    <xf numFmtId="166" fontId="8" fillId="0" borderId="67" xfId="0" applyNumberFormat="1" applyFont="1" applyBorder="1"/>
    <xf numFmtId="167" fontId="8" fillId="0" borderId="67" xfId="0" applyNumberFormat="1" applyFont="1" applyBorder="1"/>
    <xf numFmtId="0" fontId="57" fillId="0" borderId="6" xfId="0" applyFont="1" applyFill="1" applyBorder="1" applyAlignment="1">
      <alignment wrapText="1"/>
    </xf>
    <xf numFmtId="0" fontId="57" fillId="0" borderId="6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vertical="center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" xfId="0" applyFont="1" applyFill="1" applyBorder="1"/>
    <xf numFmtId="166" fontId="57" fillId="0" borderId="11" xfId="0" applyNumberFormat="1" applyFont="1" applyFill="1" applyBorder="1" applyAlignment="1">
      <alignment horizontal="right" indent="1"/>
    </xf>
    <xf numFmtId="169" fontId="57" fillId="0" borderId="11" xfId="0" applyNumberFormat="1" applyFont="1" applyFill="1" applyBorder="1" applyAlignment="1">
      <alignment horizontal="right" indent="1"/>
    </xf>
    <xf numFmtId="170" fontId="54" fillId="0" borderId="33" xfId="0" applyNumberFormat="1" applyFont="1" applyFill="1" applyBorder="1" applyAlignment="1">
      <alignment horizontal="right" indent="1"/>
    </xf>
    <xf numFmtId="0" fontId="54" fillId="0" borderId="4" xfId="0" applyFont="1" applyFill="1" applyBorder="1" applyAlignment="1">
      <alignment horizontal="left" indent="1"/>
    </xf>
    <xf numFmtId="166" fontId="54" fillId="0" borderId="7" xfId="0" applyNumberFormat="1" applyFont="1" applyFill="1" applyBorder="1" applyAlignment="1">
      <alignment horizontal="right" indent="1"/>
    </xf>
    <xf numFmtId="166" fontId="57" fillId="0" borderId="7" xfId="0" applyNumberFormat="1" applyFont="1" applyFill="1" applyBorder="1" applyAlignment="1">
      <alignment horizontal="right" indent="1"/>
    </xf>
    <xf numFmtId="167" fontId="54" fillId="0" borderId="7" xfId="0" applyNumberFormat="1" applyFont="1" applyFill="1" applyBorder="1" applyAlignment="1">
      <alignment horizontal="right" indent="1"/>
    </xf>
    <xf numFmtId="169" fontId="57" fillId="0" borderId="7" xfId="0" applyNumberFormat="1" applyFont="1" applyFill="1" applyBorder="1" applyAlignment="1">
      <alignment horizontal="right" indent="1"/>
    </xf>
    <xf numFmtId="170" fontId="57" fillId="0" borderId="33" xfId="0" applyNumberFormat="1" applyFont="1" applyFill="1" applyBorder="1" applyAlignment="1">
      <alignment horizontal="right" indent="1"/>
    </xf>
    <xf numFmtId="0" fontId="70" fillId="0" borderId="16" xfId="0" applyFont="1" applyFill="1" applyBorder="1" applyAlignment="1">
      <alignment horizontal="left" indent="2"/>
    </xf>
    <xf numFmtId="166" fontId="54" fillId="0" borderId="17" xfId="0" applyNumberFormat="1" applyFont="1" applyFill="1" applyBorder="1" applyAlignment="1">
      <alignment horizontal="right" indent="1"/>
    </xf>
    <xf numFmtId="166" fontId="57" fillId="0" borderId="17" xfId="0" applyNumberFormat="1" applyFont="1" applyFill="1" applyBorder="1" applyAlignment="1">
      <alignment horizontal="right" indent="1"/>
    </xf>
    <xf numFmtId="167" fontId="54" fillId="0" borderId="9" xfId="0" applyNumberFormat="1" applyFont="1" applyFill="1" applyBorder="1" applyAlignment="1">
      <alignment horizontal="right" indent="1"/>
    </xf>
    <xf numFmtId="169" fontId="57" fillId="0" borderId="17" xfId="0" applyNumberFormat="1" applyFont="1" applyFill="1" applyBorder="1" applyAlignment="1">
      <alignment horizontal="right" indent="1"/>
    </xf>
    <xf numFmtId="176" fontId="57" fillId="0" borderId="34" xfId="0" applyNumberFormat="1" applyFont="1" applyFill="1" applyBorder="1" applyAlignment="1">
      <alignment horizontal="right" indent="1"/>
    </xf>
    <xf numFmtId="0" fontId="70" fillId="0" borderId="5" xfId="0" applyFont="1" applyFill="1" applyBorder="1" applyAlignment="1">
      <alignment horizontal="left" indent="2"/>
    </xf>
    <xf numFmtId="166" fontId="54" fillId="0" borderId="9" xfId="0" applyNumberFormat="1" applyFont="1" applyFill="1" applyBorder="1" applyAlignment="1">
      <alignment horizontal="right" indent="1"/>
    </xf>
    <xf numFmtId="166" fontId="57" fillId="0" borderId="9" xfId="0" applyNumberFormat="1" applyFont="1" applyFill="1" applyBorder="1" applyAlignment="1">
      <alignment horizontal="right" indent="1"/>
    </xf>
    <xf numFmtId="169" fontId="57" fillId="0" borderId="9" xfId="0" applyNumberFormat="1" applyFont="1" applyFill="1" applyBorder="1" applyAlignment="1">
      <alignment horizontal="right" indent="1"/>
    </xf>
    <xf numFmtId="0" fontId="70" fillId="0" borderId="49" xfId="0" applyFont="1" applyFill="1" applyBorder="1" applyAlignment="1">
      <alignment horizontal="left" indent="2"/>
    </xf>
    <xf numFmtId="166" fontId="54" fillId="0" borderId="50" xfId="0" applyNumberFormat="1" applyFont="1" applyFill="1" applyBorder="1" applyAlignment="1">
      <alignment horizontal="right" indent="1"/>
    </xf>
    <xf numFmtId="166" fontId="57" fillId="0" borderId="50" xfId="0" applyNumberFormat="1" applyFont="1" applyFill="1" applyBorder="1" applyAlignment="1">
      <alignment horizontal="right" indent="1"/>
    </xf>
    <xf numFmtId="167" fontId="54" fillId="0" borderId="51" xfId="0" applyNumberFormat="1" applyFont="1" applyFill="1" applyBorder="1" applyAlignment="1">
      <alignment horizontal="right" indent="1"/>
    </xf>
    <xf numFmtId="169" fontId="57" fillId="0" borderId="50" xfId="0" applyNumberFormat="1" applyFont="1" applyFill="1" applyBorder="1" applyAlignment="1">
      <alignment horizontal="right" indent="1"/>
    </xf>
    <xf numFmtId="176" fontId="57" fillId="0" borderId="52" xfId="0" applyNumberFormat="1" applyFont="1" applyFill="1" applyBorder="1" applyAlignment="1">
      <alignment horizontal="right" indent="1"/>
    </xf>
    <xf numFmtId="0" fontId="70" fillId="0" borderId="48" xfId="0" applyFont="1" applyFill="1" applyBorder="1" applyAlignment="1">
      <alignment horizontal="left" indent="2"/>
    </xf>
    <xf numFmtId="176" fontId="57" fillId="0" borderId="10" xfId="0" applyNumberFormat="1" applyFont="1" applyFill="1" applyBorder="1" applyAlignment="1">
      <alignment horizontal="right" indent="1"/>
    </xf>
    <xf numFmtId="169" fontId="54" fillId="0" borderId="7" xfId="0" applyNumberFormat="1" applyFont="1" applyFill="1" applyBorder="1" applyAlignment="1">
      <alignment horizontal="right" indent="1"/>
    </xf>
    <xf numFmtId="170" fontId="54" fillId="0" borderId="8" xfId="0" applyNumberFormat="1" applyFont="1" applyFill="1" applyBorder="1" applyAlignment="1">
      <alignment horizontal="right" indent="1"/>
    </xf>
    <xf numFmtId="0" fontId="54" fillId="0" borderId="5" xfId="0" applyFont="1" applyFill="1" applyBorder="1" applyAlignment="1">
      <alignment horizontal="left" indent="1"/>
    </xf>
    <xf numFmtId="169" fontId="54" fillId="0" borderId="9" xfId="0" applyNumberFormat="1" applyFont="1" applyFill="1" applyBorder="1" applyAlignment="1">
      <alignment horizontal="right" indent="1"/>
    </xf>
    <xf numFmtId="165" fontId="54" fillId="0" borderId="10" xfId="0" applyNumberFormat="1" applyFont="1" applyFill="1" applyBorder="1" applyAlignment="1">
      <alignment horizontal="right" indent="1"/>
    </xf>
    <xf numFmtId="0" fontId="54" fillId="0" borderId="16" xfId="0" applyFont="1" applyFill="1" applyBorder="1" applyAlignment="1">
      <alignment horizontal="left" indent="1"/>
    </xf>
    <xf numFmtId="169" fontId="54" fillId="0" borderId="17" xfId="0" applyNumberFormat="1" applyFont="1" applyFill="1" applyBorder="1" applyAlignment="1">
      <alignment horizontal="right" indent="1"/>
    </xf>
    <xf numFmtId="165" fontId="54" fillId="0" borderId="18" xfId="0" applyNumberFormat="1" applyFont="1" applyFill="1" applyBorder="1" applyAlignment="1">
      <alignment horizontal="right" indent="1"/>
    </xf>
    <xf numFmtId="0" fontId="54" fillId="0" borderId="19" xfId="0" applyFont="1" applyFill="1" applyBorder="1" applyAlignment="1">
      <alignment horizontal="left" indent="1"/>
    </xf>
    <xf numFmtId="166" fontId="54" fillId="0" borderId="20" xfId="0" applyNumberFormat="1" applyFont="1" applyFill="1" applyBorder="1" applyAlignment="1">
      <alignment horizontal="right" indent="1"/>
    </xf>
    <xf numFmtId="167" fontId="54" fillId="0" borderId="26" xfId="0" applyNumberFormat="1" applyFont="1" applyFill="1" applyBorder="1" applyAlignment="1">
      <alignment horizontal="right" indent="1"/>
    </xf>
    <xf numFmtId="165" fontId="54" fillId="0" borderId="21" xfId="0" applyNumberFormat="1" applyFont="1" applyFill="1" applyBorder="1" applyAlignment="1">
      <alignment horizontal="right" indent="1"/>
    </xf>
    <xf numFmtId="0" fontId="57" fillId="0" borderId="1" xfId="0" applyFont="1" applyFill="1" applyBorder="1"/>
    <xf numFmtId="166" fontId="57" fillId="0" borderId="13" xfId="0" applyNumberFormat="1" applyFont="1" applyFill="1" applyBorder="1" applyAlignment="1">
      <alignment horizontal="right" indent="1"/>
    </xf>
    <xf numFmtId="166" fontId="57" fillId="0" borderId="29" xfId="0" applyNumberFormat="1" applyFont="1" applyFill="1" applyBorder="1" applyAlignment="1">
      <alignment horizontal="right" indent="1"/>
    </xf>
    <xf numFmtId="169" fontId="57" fillId="0" borderId="23" xfId="0" applyNumberFormat="1" applyFont="1" applyFill="1" applyBorder="1" applyAlignment="1">
      <alignment horizontal="right" indent="1"/>
    </xf>
    <xf numFmtId="0" fontId="57" fillId="0" borderId="22" xfId="0" quotePrefix="1" applyFont="1" applyFill="1" applyBorder="1" applyAlignment="1">
      <alignment horizontal="right" indent="1"/>
    </xf>
    <xf numFmtId="0" fontId="8" fillId="0" borderId="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/>
    </xf>
    <xf numFmtId="0" fontId="8" fillId="7" borderId="30" xfId="0" applyFont="1" applyFill="1" applyBorder="1" applyAlignment="1">
      <alignment horizontal="center"/>
    </xf>
    <xf numFmtId="0" fontId="8" fillId="7" borderId="31" xfId="0" applyFont="1" applyFill="1" applyBorder="1" applyAlignment="1">
      <alignment horizontal="center"/>
    </xf>
    <xf numFmtId="3" fontId="8" fillId="2" borderId="14" xfId="0" applyNumberFormat="1" applyFont="1" applyFill="1" applyBorder="1" applyAlignment="1">
      <alignment horizontal="center"/>
    </xf>
    <xf numFmtId="3" fontId="8" fillId="2" borderId="15" xfId="0" applyNumberFormat="1" applyFont="1" applyFill="1" applyBorder="1" applyAlignment="1">
      <alignment horizontal="center"/>
    </xf>
    <xf numFmtId="3" fontId="8" fillId="2" borderId="32" xfId="0" applyNumberFormat="1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0" fillId="4" borderId="30" xfId="0" applyFill="1" applyBorder="1" applyAlignment="1"/>
    <xf numFmtId="0" fontId="0" fillId="0" borderId="31" xfId="0" applyBorder="1" applyAlignment="1"/>
    <xf numFmtId="0" fontId="9" fillId="4" borderId="30" xfId="0" applyFont="1" applyFill="1" applyBorder="1" applyAlignment="1"/>
    <xf numFmtId="172" fontId="46" fillId="0" borderId="53" xfId="0" applyNumberFormat="1" applyFont="1" applyBorder="1" applyAlignment="1">
      <alignment horizontal="right" vertical="center" indent="1"/>
    </xf>
    <xf numFmtId="171" fontId="46" fillId="0" borderId="53" xfId="0" applyNumberFormat="1" applyFont="1" applyBorder="1" applyAlignment="1">
      <alignment horizontal="right" vertical="center" indent="1"/>
    </xf>
    <xf numFmtId="171" fontId="48" fillId="0" borderId="53" xfId="0" applyNumberFormat="1" applyFont="1" applyBorder="1" applyAlignment="1">
      <alignment horizontal="right" vertical="center" indent="1"/>
    </xf>
    <xf numFmtId="0" fontId="49" fillId="19" borderId="53" xfId="0" applyFont="1" applyFill="1" applyBorder="1" applyAlignment="1">
      <alignment horizontal="center" vertical="center" wrapText="1"/>
    </xf>
    <xf numFmtId="172" fontId="48" fillId="0" borderId="53" xfId="0" applyNumberFormat="1" applyFont="1" applyBorder="1" applyAlignment="1">
      <alignment horizontal="right" vertical="center" indent="1"/>
    </xf>
    <xf numFmtId="0" fontId="46" fillId="0" borderId="43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5" fillId="12" borderId="44" xfId="0" applyFont="1" applyFill="1" applyBorder="1" applyAlignment="1">
      <alignment horizontal="center" vertical="center" wrapText="1"/>
    </xf>
    <xf numFmtId="0" fontId="5" fillId="12" borderId="45" xfId="0" applyFont="1" applyFill="1" applyBorder="1" applyAlignment="1">
      <alignment horizontal="center" vertical="center" wrapText="1"/>
    </xf>
    <xf numFmtId="0" fontId="5" fillId="12" borderId="47" xfId="0" applyFont="1" applyFill="1" applyBorder="1" applyAlignment="1">
      <alignment horizontal="center" vertical="center" wrapText="1"/>
    </xf>
    <xf numFmtId="0" fontId="5" fillId="13" borderId="44" xfId="0" applyFont="1" applyFill="1" applyBorder="1" applyAlignment="1">
      <alignment horizontal="center" vertical="center" wrapText="1"/>
    </xf>
    <xf numFmtId="0" fontId="5" fillId="13" borderId="45" xfId="0" applyFont="1" applyFill="1" applyBorder="1" applyAlignment="1">
      <alignment horizontal="center" vertical="center" wrapText="1"/>
    </xf>
    <xf numFmtId="0" fontId="5" fillId="13" borderId="47" xfId="0" applyFont="1" applyFill="1" applyBorder="1" applyAlignment="1">
      <alignment horizontal="center" vertical="center" wrapText="1"/>
    </xf>
    <xf numFmtId="0" fontId="0" fillId="0" borderId="68" xfId="0" applyBorder="1"/>
    <xf numFmtId="0" fontId="0" fillId="0" borderId="69" xfId="0" applyBorder="1"/>
    <xf numFmtId="17" fontId="72" fillId="0" borderId="70" xfId="0" quotePrefix="1" applyNumberFormat="1" applyFont="1" applyBorder="1" applyAlignment="1">
      <alignment horizontal="right"/>
    </xf>
    <xf numFmtId="0" fontId="0" fillId="23" borderId="0" xfId="0" applyFill="1"/>
    <xf numFmtId="0" fontId="0" fillId="0" borderId="71" xfId="0" applyBorder="1"/>
    <xf numFmtId="0" fontId="0" fillId="0" borderId="72" xfId="0" applyBorder="1"/>
    <xf numFmtId="0" fontId="73" fillId="0" borderId="71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73" fillId="0" borderId="72" xfId="0" applyFont="1" applyBorder="1" applyAlignment="1">
      <alignment horizontal="center"/>
    </xf>
    <xf numFmtId="0" fontId="74" fillId="0" borderId="71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74" fillId="0" borderId="72" xfId="0" applyFont="1" applyBorder="1" applyAlignment="1">
      <alignment horizontal="center"/>
    </xf>
    <xf numFmtId="0" fontId="1" fillId="0" borderId="72" xfId="0" applyFont="1" applyBorder="1"/>
    <xf numFmtId="0" fontId="75" fillId="0" borderId="71" xfId="0" applyFont="1" applyBorder="1" applyAlignment="1">
      <alignment vertical="center"/>
    </xf>
    <xf numFmtId="0" fontId="78" fillId="0" borderId="71" xfId="3" applyFont="1" applyBorder="1" applyAlignment="1" applyProtection="1">
      <alignment vertical="center"/>
    </xf>
    <xf numFmtId="0" fontId="79" fillId="0" borderId="71" xfId="0" applyFont="1" applyBorder="1" applyAlignment="1">
      <alignment vertical="center"/>
    </xf>
    <xf numFmtId="0" fontId="71" fillId="0" borderId="71" xfId="3" applyBorder="1" applyAlignment="1" applyProtection="1">
      <alignment vertical="center"/>
    </xf>
    <xf numFmtId="0" fontId="1" fillId="0" borderId="71" xfId="3" applyFont="1" applyBorder="1" applyAlignment="1" applyProtection="1">
      <alignment vertical="center"/>
    </xf>
    <xf numFmtId="0" fontId="1" fillId="0" borderId="71" xfId="0" applyFont="1" applyBorder="1" applyAlignment="1">
      <alignment vertical="center"/>
    </xf>
    <xf numFmtId="0" fontId="0" fillId="0" borderId="73" xfId="0" applyBorder="1"/>
    <xf numFmtId="0" fontId="0" fillId="0" borderId="74" xfId="0" applyBorder="1"/>
    <xf numFmtId="0" fontId="0" fillId="0" borderId="75" xfId="0" applyBorder="1"/>
  </cellXfs>
  <cellStyles count="4">
    <cellStyle name="Lien hypertexte" xfId="3" builtinId="8"/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FFCC"/>
      <color rgb="FFFFFF99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D17-4C0D-A80C-B751EB858CCC}"/>
              </c:ext>
            </c:extLst>
          </c:dPt>
          <c:dPt>
            <c:idx val="1"/>
            <c:bubble3D val="0"/>
            <c:spPr>
              <a:solidFill>
                <a:schemeClr val="accent5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D17-4C0D-A80C-B751EB858CCC}"/>
              </c:ext>
            </c:extLst>
          </c:dPt>
          <c:dPt>
            <c:idx val="2"/>
            <c:bubble3D val="0"/>
            <c:spPr>
              <a:solidFill>
                <a:schemeClr val="accent5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D17-4C0D-A80C-B751EB858CCC}"/>
              </c:ext>
            </c:extLst>
          </c:dPt>
          <c:dPt>
            <c:idx val="3"/>
            <c:bubble3D val="0"/>
            <c:spPr>
              <a:solidFill>
                <a:schemeClr val="accent5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D17-4C0D-A80C-B751EB858CCC}"/>
              </c:ext>
            </c:extLst>
          </c:dPt>
          <c:dPt>
            <c:idx val="4"/>
            <c:bubble3D val="0"/>
            <c:spPr>
              <a:solidFill>
                <a:schemeClr val="accent5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D17-4C0D-A80C-B751EB858CCC}"/>
              </c:ext>
            </c:extLst>
          </c:dPt>
          <c:dPt>
            <c:idx val="5"/>
            <c:bubble3D val="0"/>
            <c:spPr>
              <a:solidFill>
                <a:schemeClr val="accent5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D17-4C0D-A80C-B751EB858CCC}"/>
              </c:ext>
            </c:extLst>
          </c:dPt>
          <c:dLbls>
            <c:dLbl>
              <c:idx val="0"/>
              <c:layout>
                <c:manualLayout>
                  <c:x val="6.1111111111111165E-2"/>
                  <c:y val="3.744890057119003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1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1">
                        <a:solidFill>
                          <a:schemeClr val="bg1"/>
                        </a:solidFill>
                      </a:rPr>
                      <a:t>Maladie</a:t>
                    </a:r>
                  </a:p>
                  <a:p>
                    <a:pPr>
                      <a:defRPr sz="1100" b="1">
                        <a:solidFill>
                          <a:schemeClr val="bg1"/>
                        </a:solidFill>
                      </a:defRPr>
                    </a:pPr>
                    <a:r>
                      <a:rPr lang="en-US" sz="1100" b="1">
                        <a:solidFill>
                          <a:schemeClr val="bg1"/>
                        </a:solidFill>
                      </a:rPr>
                      <a:t>42,6</a:t>
                    </a:r>
                    <a:r>
                      <a:rPr lang="en-US" sz="1100" b="1" baseline="0">
                        <a:solidFill>
                          <a:schemeClr val="bg1"/>
                        </a:solidFill>
                      </a:rPr>
                      <a:t> </a:t>
                    </a:r>
                    <a:r>
                      <a:rPr lang="en-US" sz="1100" b="1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9D17-4C0D-A80C-B751EB858CCC}"/>
                </c:ext>
              </c:extLst>
            </c:dLbl>
            <c:dLbl>
              <c:idx val="1"/>
              <c:layout>
                <c:manualLayout>
                  <c:x val="-3.6111111111111163E-2"/>
                  <c:y val="4.2874823680296948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1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1">
                        <a:solidFill>
                          <a:schemeClr val="bg1"/>
                        </a:solidFill>
                      </a:rPr>
                      <a:t>Retraite</a:t>
                    </a:r>
                  </a:p>
                  <a:p>
                    <a:pPr>
                      <a:defRPr sz="1100" b="1">
                        <a:solidFill>
                          <a:schemeClr val="bg1"/>
                        </a:solidFill>
                      </a:defRPr>
                    </a:pPr>
                    <a:r>
                      <a:rPr lang="en-US" sz="1100" b="1">
                        <a:solidFill>
                          <a:schemeClr val="bg1"/>
                        </a:solidFill>
                      </a:rPr>
                      <a:t>46,3</a:t>
                    </a:r>
                    <a:r>
                      <a:rPr lang="en-US" sz="1100" b="1" baseline="0">
                        <a:solidFill>
                          <a:schemeClr val="bg1"/>
                        </a:solidFill>
                      </a:rPr>
                      <a:t> </a:t>
                    </a:r>
                    <a:r>
                      <a:rPr lang="en-US" sz="1100" b="1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D17-4C0D-A80C-B751EB858CCC}"/>
                </c:ext>
              </c:extLst>
            </c:dLbl>
            <c:dLbl>
              <c:idx val="2"/>
              <c:layout>
                <c:manualLayout>
                  <c:x val="0.22222200349956245"/>
                  <c:y val="-0.1851821049225798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100" b="1" i="0" u="none" strike="noStrike" kern="1200" baseline="0">
                        <a:solidFill>
                          <a:schemeClr val="accent5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1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RCO </a:t>
                    </a:r>
                  </a:p>
                  <a:p>
                    <a:pPr>
                      <a:defRPr sz="1100" b="1">
                        <a:solidFill>
                          <a:schemeClr val="accent5">
                            <a:lumMod val="75000"/>
                          </a:schemeClr>
                        </a:solidFill>
                      </a:defRPr>
                    </a:pPr>
                    <a:r>
                      <a:rPr lang="en-US" sz="1100" b="1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7,4 %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accent5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9D17-4C0D-A80C-B751EB858CCC}"/>
                </c:ext>
              </c:extLst>
            </c:dLbl>
            <c:dLbl>
              <c:idx val="3"/>
              <c:layout>
                <c:manualLayout>
                  <c:x val="0.22904133858267706"/>
                  <c:y val="-5.5552698206691377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100" b="1" i="0" u="none" strike="noStrike" kern="1200" baseline="0">
                        <a:solidFill>
                          <a:schemeClr val="accent5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1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Famille</a:t>
                    </a:r>
                  </a:p>
                  <a:p>
                    <a:pPr>
                      <a:defRPr sz="1100" b="1">
                        <a:solidFill>
                          <a:schemeClr val="accent5">
                            <a:lumMod val="75000"/>
                          </a:schemeClr>
                        </a:solidFill>
                      </a:defRPr>
                    </a:pPr>
                    <a:r>
                      <a:rPr lang="en-US" sz="1100" b="1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 2,3</a:t>
                    </a:r>
                    <a:r>
                      <a:rPr lang="en-US" sz="1100" b="1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 </a:t>
                    </a:r>
                    <a:r>
                      <a:rPr lang="en-US" sz="1100" b="1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accent5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9D17-4C0D-A80C-B751EB858CCC}"/>
                </c:ext>
              </c:extLst>
            </c:dLbl>
            <c:dLbl>
              <c:idx val="4"/>
              <c:layout>
                <c:manualLayout>
                  <c:x val="0.23055555555555546"/>
                  <c:y val="8.83486189338635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100" b="1" i="0" u="none" strike="noStrike" kern="1200" baseline="0">
                        <a:solidFill>
                          <a:schemeClr val="accent5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1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Atexa</a:t>
                    </a:r>
                  </a:p>
                  <a:p>
                    <a:pPr>
                      <a:defRPr sz="1100" b="1">
                        <a:solidFill>
                          <a:schemeClr val="accent5">
                            <a:lumMod val="75000"/>
                          </a:schemeClr>
                        </a:solidFill>
                      </a:defRPr>
                    </a:pPr>
                    <a:r>
                      <a:rPr lang="en-US" sz="1100" b="1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0,9 %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accent5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9D17-4C0D-A80C-B751EB858CCC}"/>
                </c:ext>
              </c:extLst>
            </c:dLbl>
            <c:dLbl>
              <c:idx val="5"/>
              <c:layout>
                <c:manualLayout>
                  <c:x val="0.10277755905511811"/>
                  <c:y val="0.1805878527169191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100" b="1" i="0" u="none" strike="noStrike" kern="1200" baseline="0">
                        <a:solidFill>
                          <a:schemeClr val="accent5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1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IJ Amexa</a:t>
                    </a:r>
                  </a:p>
                  <a:p>
                    <a:pPr>
                      <a:defRPr sz="1100" b="1">
                        <a:solidFill>
                          <a:schemeClr val="accent5">
                            <a:lumMod val="75000"/>
                          </a:schemeClr>
                        </a:solidFill>
                      </a:defRPr>
                    </a:pPr>
                    <a:r>
                      <a:rPr lang="en-US" sz="1100" b="1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0,5 %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accent5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9D17-4C0D-A80C-B751EB858C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'NSA1'!$A$4:$A$9</c:f>
              <c:strCache>
                <c:ptCount val="6"/>
                <c:pt idx="0">
                  <c:v>ü retraite</c:v>
                </c:pt>
                <c:pt idx="1">
                  <c:v>ü maladie-maternité-invalidité</c:v>
                </c:pt>
                <c:pt idx="2">
                  <c:v>ü retraite complémentaire obligatoire</c:v>
                </c:pt>
                <c:pt idx="3">
                  <c:v>ü famille</c:v>
                </c:pt>
                <c:pt idx="4">
                  <c:v>ü accident du travail et maladie professionnelle</c:v>
                </c:pt>
                <c:pt idx="5">
                  <c:v>ü IJ AMEXA</c:v>
                </c:pt>
              </c:strCache>
            </c:strRef>
          </c:cat>
          <c:val>
            <c:numRef>
              <c:f>'NSA1'!$D$4:$D$9</c:f>
              <c:numCache>
                <c:formatCode>0.0%</c:formatCode>
                <c:ptCount val="6"/>
                <c:pt idx="0">
                  <c:v>0.46308018678672691</c:v>
                </c:pt>
                <c:pt idx="1">
                  <c:v>0.42637390916908008</c:v>
                </c:pt>
                <c:pt idx="2">
                  <c:v>7.371056771508834E-2</c:v>
                </c:pt>
                <c:pt idx="3">
                  <c:v>2.264104056862189E-2</c:v>
                </c:pt>
                <c:pt idx="4">
                  <c:v>9.2233781901075139E-3</c:v>
                </c:pt>
                <c:pt idx="5">
                  <c:v>4.970917570375339E-3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D17-4C0D-A80C-B751EB858C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27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fr-FR" sz="1050">
                <a:solidFill>
                  <a:schemeClr val="accent1">
                    <a:lumMod val="50000"/>
                  </a:schemeClr>
                </a:solidFill>
              </a:rPr>
              <a:t>Contributions à l'évolution des recettes selon la branche en 2022</a:t>
            </a:r>
          </a:p>
          <a:p>
            <a:pPr>
              <a:defRPr sz="105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fr-FR" sz="1050" b="0">
                <a:solidFill>
                  <a:schemeClr val="accent1">
                    <a:lumMod val="50000"/>
                  </a:schemeClr>
                </a:solidFill>
              </a:rPr>
              <a:t>(Total : + 1,0 point)</a:t>
            </a:r>
          </a:p>
        </c:rich>
      </c:tx>
      <c:layout>
        <c:manualLayout>
          <c:xMode val="edge"/>
          <c:yMode val="edge"/>
          <c:x val="0.14274547006925339"/>
          <c:y val="4.847963537206529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'%charges'!$A$38</c:f>
              <c:strCache>
                <c:ptCount val="1"/>
                <c:pt idx="0">
                  <c:v>MALADIE (avec IJ Amexa)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44E-4F8B-891F-422D02F4D5C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44E-4F8B-891F-422D02F4D5C4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3-344E-4F8B-891F-422D02F4D5C4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5-344E-4F8B-891F-422D02F4D5C4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344E-4F8B-891F-422D02F4D5C4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9-344E-4F8B-891F-422D02F4D5C4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B-344E-4F8B-891F-422D02F4D5C4}"/>
              </c:ext>
            </c:extLst>
          </c:dPt>
          <c:dLbls>
            <c:dLbl>
              <c:idx val="0"/>
              <c:layout>
                <c:manualLayout>
                  <c:x val="0"/>
                  <c:y val="0.1185061994977290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4E-4F8B-891F-422D02F4D5C4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'%charges'!$I$12</c:f>
              <c:strCache>
                <c:ptCount val="1"/>
                <c:pt idx="0">
                  <c:v>Contri croiss</c:v>
                </c:pt>
              </c:strCache>
            </c:strRef>
          </c:cat>
          <c:val>
            <c:numRef>
              <c:f>'%produits'!$F$41</c:f>
              <c:numCache>
                <c:formatCode>\+0.00;\-0.00</c:formatCode>
                <c:ptCount val="1"/>
                <c:pt idx="0">
                  <c:v>-0.70476043995745408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44E-4F8B-891F-422D02F4D5C4}"/>
            </c:ext>
          </c:extLst>
        </c:ser>
        <c:ser>
          <c:idx val="1"/>
          <c:order val="1"/>
          <c:tx>
            <c:strRef>
              <c:f>'%charges'!$A$39</c:f>
              <c:strCache>
                <c:ptCount val="1"/>
                <c:pt idx="0">
                  <c:v>Atexa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E-344E-4F8B-891F-422D02F4D5C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0-344E-4F8B-891F-422D02F4D5C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2-344E-4F8B-891F-422D02F4D5C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4-344E-4F8B-891F-422D02F4D5C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6-344E-4F8B-891F-422D02F4D5C4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'%charges'!$I$12</c:f>
              <c:strCache>
                <c:ptCount val="1"/>
                <c:pt idx="0">
                  <c:v>Contri croiss</c:v>
                </c:pt>
              </c:strCache>
            </c:strRef>
          </c:cat>
          <c:val>
            <c:numRef>
              <c:f>'%produits'!$F$42</c:f>
              <c:numCache>
                <c:formatCode>\+0.00;\-0.00</c:formatCode>
                <c:ptCount val="1"/>
                <c:pt idx="0">
                  <c:v>-6.440009688168595E-2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344E-4F8B-891F-422D02F4D5C4}"/>
            </c:ext>
          </c:extLst>
        </c:ser>
        <c:ser>
          <c:idx val="4"/>
          <c:order val="2"/>
          <c:tx>
            <c:strRef>
              <c:f>'%charges'!$A$40</c:f>
              <c:strCache>
                <c:ptCount val="1"/>
                <c:pt idx="0">
                  <c:v>FAMILLE</c:v>
                </c:pt>
              </c:strCache>
            </c:strRef>
          </c:tx>
          <c:spPr>
            <a:pattFill prst="pct75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0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9-344E-4F8B-891F-422D02F4D5C4}"/>
              </c:ext>
            </c:extLst>
          </c:dPt>
          <c:dPt>
            <c:idx val="2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B-344E-4F8B-891F-422D02F4D5C4}"/>
              </c:ext>
            </c:extLst>
          </c:dPt>
          <c:dPt>
            <c:idx val="3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D-344E-4F8B-891F-422D02F4D5C4}"/>
              </c:ext>
            </c:extLst>
          </c:dPt>
          <c:dPt>
            <c:idx val="4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F-344E-4F8B-891F-422D02F4D5C4}"/>
              </c:ext>
            </c:extLst>
          </c:dPt>
          <c:dPt>
            <c:idx val="5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1-344E-4F8B-891F-422D02F4D5C4}"/>
              </c:ext>
            </c:extLst>
          </c:dPt>
          <c:dPt>
            <c:idx val="6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3-344E-4F8B-891F-422D02F4D5C4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'%charges'!$I$12</c:f>
              <c:strCache>
                <c:ptCount val="1"/>
                <c:pt idx="0">
                  <c:v>Contri croiss</c:v>
                </c:pt>
              </c:strCache>
            </c:strRef>
          </c:cat>
          <c:val>
            <c:numRef>
              <c:f>'%produits'!$F$43</c:f>
              <c:numCache>
                <c:formatCode>\+0.00;\-0.00</c:formatCode>
                <c:ptCount val="1"/>
                <c:pt idx="0">
                  <c:v>0.17773844501665645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344E-4F8B-891F-422D02F4D5C4}"/>
            </c:ext>
          </c:extLst>
        </c:ser>
        <c:ser>
          <c:idx val="3"/>
          <c:order val="3"/>
          <c:tx>
            <c:strRef>
              <c:f>'%charges'!$A$41</c:f>
              <c:strCache>
                <c:ptCount val="1"/>
                <c:pt idx="0">
                  <c:v>RETRAITE</c:v>
                </c:pt>
              </c:strCache>
            </c:strRef>
          </c:tx>
          <c:spPr>
            <a:pattFill prst="dkVert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6-344E-4F8B-891F-422D02F4D5C4}"/>
              </c:ext>
            </c:extLst>
          </c:dPt>
          <c:dPt>
            <c:idx val="3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8-344E-4F8B-891F-422D02F4D5C4}"/>
              </c:ext>
            </c:extLst>
          </c:dPt>
          <c:dPt>
            <c:idx val="4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A-344E-4F8B-891F-422D02F4D5C4}"/>
              </c:ext>
            </c:extLst>
          </c:dPt>
          <c:dPt>
            <c:idx val="5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C-344E-4F8B-891F-422D02F4D5C4}"/>
              </c:ext>
            </c:extLst>
          </c:dPt>
          <c:dPt>
            <c:idx val="6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E-344E-4F8B-891F-422D02F4D5C4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'%charges'!$I$12</c:f>
              <c:strCache>
                <c:ptCount val="1"/>
                <c:pt idx="0">
                  <c:v>Contri croiss</c:v>
                </c:pt>
              </c:strCache>
            </c:strRef>
          </c:cat>
          <c:val>
            <c:numRef>
              <c:f>'%produits'!$F$44</c:f>
              <c:numCache>
                <c:formatCode>\+0.00;\-0.00</c:formatCode>
                <c:ptCount val="1"/>
                <c:pt idx="0">
                  <c:v>0.46836502480887615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344E-4F8B-891F-422D02F4D5C4}"/>
            </c:ext>
          </c:extLst>
        </c:ser>
        <c:ser>
          <c:idx val="2"/>
          <c:order val="4"/>
          <c:tx>
            <c:strRef>
              <c:f>'%charges'!$A$42</c:f>
              <c:strCache>
                <c:ptCount val="1"/>
                <c:pt idx="0">
                  <c:v>RCO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1-344E-4F8B-891F-422D02F4D5C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3-344E-4F8B-891F-422D02F4D5C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5-344E-4F8B-891F-422D02F4D5C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7-344E-4F8B-891F-422D02F4D5C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9-344E-4F8B-891F-422D02F4D5C4}"/>
              </c:ext>
            </c:extLst>
          </c:dPt>
          <c:dLbls>
            <c:numFmt formatCode="\+0.0;\-0.0" sourceLinked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'%charges'!$I$12</c:f>
              <c:strCache>
                <c:ptCount val="1"/>
                <c:pt idx="0">
                  <c:v>Contri croiss</c:v>
                </c:pt>
              </c:strCache>
              <c:extLst xmlns:c15="http://schemas.microsoft.com/office/drawing/2012/chart"/>
            </c:strRef>
          </c:cat>
          <c:val>
            <c:numRef>
              <c:f>'%produits'!$F$45</c:f>
              <c:numCache>
                <c:formatCode>\+0.00;\-0.00</c:formatCode>
                <c:ptCount val="1"/>
                <c:pt idx="0">
                  <c:v>-0.14743426590746009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344E-4F8B-891F-422D02F4D5C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6489024"/>
        <c:axId val="436486672"/>
        <c:extLst/>
      </c:barChart>
      <c:catAx>
        <c:axId val="436489024"/>
        <c:scaling>
          <c:orientation val="minMax"/>
        </c:scaling>
        <c:delete val="1"/>
        <c:axPos val="b"/>
        <c:majorGridlines/>
        <c:numFmt formatCode="General" sourceLinked="1"/>
        <c:majorTickMark val="out"/>
        <c:minorTickMark val="none"/>
        <c:tickLblPos val="high"/>
        <c:crossAx val="436486672"/>
        <c:crosses val="autoZero"/>
        <c:auto val="1"/>
        <c:lblAlgn val="ctr"/>
        <c:lblOffset val="100"/>
        <c:noMultiLvlLbl val="0"/>
      </c:catAx>
      <c:valAx>
        <c:axId val="436486672"/>
        <c:scaling>
          <c:orientation val="minMax"/>
          <c:max val="4"/>
          <c:min val="-4"/>
        </c:scaling>
        <c:delete val="0"/>
        <c:axPos val="l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i="1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r>
                  <a:rPr lang="fr-FR" sz="800" i="1">
                    <a:solidFill>
                      <a:schemeClr val="accent1">
                        <a:lumMod val="50000"/>
                      </a:schemeClr>
                    </a:solidFill>
                  </a:rPr>
                  <a:t>Contribution à l'évolution (en points)</a:t>
                </a:r>
              </a:p>
            </c:rich>
          </c:tx>
          <c:layout>
            <c:manualLayout>
              <c:xMode val="edge"/>
              <c:yMode val="edge"/>
              <c:x val="3.5756253359896281E-2"/>
              <c:y val="0.19432656781571461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36489024"/>
        <c:crosses val="autoZero"/>
        <c:crossBetween val="between"/>
        <c:majorUnit val="2"/>
      </c:valAx>
    </c:plotArea>
    <c:legend>
      <c:legendPos val="b"/>
      <c:overlay val="0"/>
      <c:txPr>
        <a:bodyPr/>
        <a:lstStyle/>
        <a:p>
          <a:pPr>
            <a:defRPr sz="1000">
              <a:solidFill>
                <a:schemeClr val="accent1">
                  <a:lumMod val="50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726841644435078"/>
          <c:y val="9.881110402825799E-2"/>
          <c:w val="0.48413617186740548"/>
          <c:h val="0.835198549730374"/>
        </c:manualLayout>
      </c:layout>
      <c:pieChart>
        <c:varyColors val="1"/>
        <c:ser>
          <c:idx val="0"/>
          <c:order val="0"/>
          <c:explosion val="14"/>
          <c:dPt>
            <c:idx val="0"/>
            <c:bubble3D val="0"/>
            <c:explosion val="0"/>
            <c:spPr>
              <a:solidFill>
                <a:schemeClr val="accent1">
                  <a:shade val="4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1CA-4697-8FEA-19FB6321349D}"/>
              </c:ext>
            </c:extLst>
          </c:dPt>
          <c:dPt>
            <c:idx val="1"/>
            <c:bubble3D val="0"/>
            <c:spPr>
              <a:solidFill>
                <a:schemeClr val="accent1">
                  <a:shade val="6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1CA-4697-8FEA-19FB6321349D}"/>
              </c:ext>
            </c:extLst>
          </c:dPt>
          <c:dPt>
            <c:idx val="2"/>
            <c:bubble3D val="0"/>
            <c:explosion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1CA-4697-8FEA-19FB6321349D}"/>
              </c:ext>
            </c:extLst>
          </c:dPt>
          <c:dPt>
            <c:idx val="3"/>
            <c:bubble3D val="0"/>
            <c:explosion val="0"/>
            <c:spPr>
              <a:solidFill>
                <a:schemeClr val="accent1">
                  <a:shade val="9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1CA-4697-8FEA-19FB6321349D}"/>
              </c:ext>
            </c:extLst>
          </c:dPt>
          <c:dPt>
            <c:idx val="4"/>
            <c:bubble3D val="0"/>
            <c:explosion val="0"/>
            <c:spPr>
              <a:solidFill>
                <a:schemeClr val="accent1">
                  <a:tint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1CA-4697-8FEA-19FB6321349D}"/>
              </c:ext>
            </c:extLst>
          </c:dPt>
          <c:dPt>
            <c:idx val="5"/>
            <c:bubble3D val="0"/>
            <c:explosion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1CA-4697-8FEA-19FB6321349D}"/>
              </c:ext>
            </c:extLst>
          </c:dPt>
          <c:dPt>
            <c:idx val="6"/>
            <c:bubble3D val="0"/>
            <c:spPr>
              <a:solidFill>
                <a:schemeClr val="accent1">
                  <a:tint val="6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1CA-4697-8FEA-19FB6321349D}"/>
              </c:ext>
            </c:extLst>
          </c:dPt>
          <c:dPt>
            <c:idx val="7"/>
            <c:bubble3D val="0"/>
            <c:explosion val="0"/>
            <c:spPr>
              <a:solidFill>
                <a:schemeClr val="accent1">
                  <a:tint val="4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1CA-4697-8FEA-19FB6321349D}"/>
              </c:ext>
            </c:extLst>
          </c:dPt>
          <c:dLbls>
            <c:dLbl>
              <c:idx val="0"/>
              <c:layout>
                <c:manualLayout>
                  <c:x val="-4.2649086885171932E-2"/>
                  <c:y val="0.1926997801834669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876490E-8851-4D28-8C56-85D3E48A852C}" type="CATEGORYNAME">
                      <a:rPr lang="en-US" sz="100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[NOM DE CATÉGORIE]</a:t>
                    </a:fld>
                    <a:endParaRPr lang="en-US" sz="1000" baseline="0">
                      <a:solidFill>
                        <a:schemeClr val="bg1"/>
                      </a:solidFill>
                    </a:endParaRP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sz="1000">
                        <a:solidFill>
                          <a:schemeClr val="bg1"/>
                        </a:solidFill>
                      </a:rPr>
                      <a:t>(</a:t>
                    </a:r>
                    <a:fld id="{EDF55D2F-DF57-4247-BFD1-C2DEDC894796}" type="VALUE">
                      <a:rPr lang="en-US" sz="100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[VALEUR]</a:t>
                    </a:fld>
                    <a:r>
                      <a:rPr lang="en-US" sz="1000">
                        <a:solidFill>
                          <a:schemeClr val="bg1"/>
                        </a:solidFill>
                      </a:rPr>
                      <a:t>)</a:t>
                    </a: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sz="1000" b="1">
                        <a:solidFill>
                          <a:schemeClr val="bg1"/>
                        </a:solidFill>
                      </a:rPr>
                      <a:t>2,6 Mds €</a:t>
                    </a: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sz="1000">
                        <a:solidFill>
                          <a:schemeClr val="bg1"/>
                        </a:solidFill>
                      </a:rPr>
                      <a:t>(-9,3% par rapport à 2021)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489265764856318"/>
                      <c:h val="0.2411834540705984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1CA-4697-8FEA-19FB6321349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CA-4697-8FEA-19FB6321349D}"/>
                </c:ext>
              </c:extLst>
            </c:dLbl>
            <c:dLbl>
              <c:idx val="2"/>
              <c:layout>
                <c:manualLayout>
                  <c:x val="-0.20515945765479515"/>
                  <c:y val="-0.2782413728430014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C02E5B2-653E-4010-864D-AF69EFA68F38}" type="CATEGORYNAME">
                      <a:rPr lang="en-US" sz="100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[NOM DE CATÉGORIE]</a:t>
                    </a:fld>
                    <a:endParaRPr lang="en-US" sz="1000" baseline="0">
                      <a:solidFill>
                        <a:schemeClr val="bg1"/>
                      </a:solidFill>
                    </a:endParaRP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sz="1000">
                        <a:solidFill>
                          <a:schemeClr val="bg1"/>
                        </a:solidFill>
                      </a:rPr>
                      <a:t>(</a:t>
                    </a:r>
                    <a:fld id="{EB4F1145-EF17-4D0B-945D-F34EF22C9A29}" type="VALUE">
                      <a:rPr lang="en-US" sz="100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[VALEUR]</a:t>
                    </a:fld>
                    <a:r>
                      <a:rPr lang="en-US" sz="1000">
                        <a:solidFill>
                          <a:schemeClr val="bg1"/>
                        </a:solidFill>
                      </a:rPr>
                      <a:t>)</a:t>
                    </a: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sz="1000" b="1">
                        <a:solidFill>
                          <a:schemeClr val="bg1"/>
                        </a:solidFill>
                      </a:rPr>
                      <a:t>2,6 Mds</a:t>
                    </a:r>
                    <a:r>
                      <a:rPr lang="en-US" sz="1000" b="1" baseline="0">
                        <a:solidFill>
                          <a:schemeClr val="bg1"/>
                        </a:solidFill>
                      </a:rPr>
                      <a:t> €</a:t>
                    </a:r>
                  </a:p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 sz="1000" b="0" baseline="0">
                        <a:solidFill>
                          <a:schemeClr val="bg1"/>
                        </a:solidFill>
                      </a:rPr>
                      <a:t>(-1,0% par rapport à 2021)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016039661708955"/>
                      <c:h val="0.2306436803384108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1CA-4697-8FEA-19FB6321349D}"/>
                </c:ext>
              </c:extLst>
            </c:dLbl>
            <c:dLbl>
              <c:idx val="3"/>
              <c:layout>
                <c:manualLayout>
                  <c:x val="2.4617877876494994E-2"/>
                  <c:y val="6.316138932086851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accent1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82DAB23-A7FE-4650-8DE6-CF61093D539A}" type="CATEGORYNAME">
                      <a:rPr lang="en-US" sz="1000"/>
                      <a:pPr>
                        <a:defRPr>
                          <a:solidFill>
                            <a:schemeClr val="accent1">
                              <a:lumMod val="75000"/>
                            </a:schemeClr>
                          </a:solidFill>
                        </a:defRPr>
                      </a:pPr>
                      <a:t>[NOM DE CATÉGORIE]</a:t>
                    </a:fld>
                    <a:endParaRPr lang="en-US" sz="1000" baseline="0"/>
                  </a:p>
                  <a:p>
                    <a:pPr>
                      <a:defRPr>
                        <a:solidFill>
                          <a:schemeClr val="accent1">
                            <a:lumMod val="75000"/>
                          </a:schemeClr>
                        </a:solidFill>
                      </a:defRPr>
                    </a:pPr>
                    <a:r>
                      <a:rPr lang="en-US" sz="1000"/>
                      <a:t>(17,5%)</a:t>
                    </a:r>
                  </a:p>
                  <a:p>
                    <a:pPr>
                      <a:defRPr>
                        <a:solidFill>
                          <a:schemeClr val="accent1">
                            <a:lumMod val="75000"/>
                          </a:schemeClr>
                        </a:solidFill>
                      </a:defRPr>
                    </a:pPr>
                    <a:r>
                      <a:rPr lang="en-US" sz="1000" b="1"/>
                      <a:t>1,3 Md €</a:t>
                    </a:r>
                  </a:p>
                  <a:p>
                    <a:pPr>
                      <a:defRPr>
                        <a:solidFill>
                          <a:schemeClr val="accent1">
                            <a:lumMod val="75000"/>
                          </a:schemeClr>
                        </a:solidFill>
                      </a:defRPr>
                    </a:pPr>
                    <a:r>
                      <a:rPr lang="en-US" sz="1000"/>
                      <a:t>(+3,2% par rapport à 2021)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452345679012341"/>
                      <c:h val="0.2052152326492442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1CA-4697-8FEA-19FB6321349D}"/>
                </c:ext>
              </c:extLst>
            </c:dLbl>
            <c:dLbl>
              <c:idx val="4"/>
              <c:layout>
                <c:manualLayout>
                  <c:x val="-2.1714468492115804E-2"/>
                  <c:y val="0.2202985329562922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rgbClr val="4F81BD">
                            <a:lumMod val="75000"/>
                          </a:srgb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EB60E68-954B-4F11-945D-0B3014511F71}" type="CATEGORYNAME">
                      <a:rPr lang="en-US" sz="1000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>
                          <a:solidFill>
                            <a:srgbClr val="4F81BD">
                              <a:lumMod val="75000"/>
                            </a:srgbClr>
                          </a:solidFill>
                        </a:defRPr>
                      </a:pPr>
                      <a:t>[NOM DE CATÉGORIE]</a:t>
                    </a:fld>
                    <a:endParaRPr lang="en-US" sz="1000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>
                        <a:solidFill>
                          <a:srgbClr val="4F81BD">
                            <a:lumMod val="75000"/>
                          </a:srgbClr>
                        </a:solidFill>
                      </a:defRPr>
                    </a:pPr>
                    <a:r>
                      <a:rPr lang="en-US" sz="1000"/>
                      <a:t>(8,6%)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>
                        <a:solidFill>
                          <a:srgbClr val="4F81BD">
                            <a:lumMod val="75000"/>
                          </a:srgbClr>
                        </a:solidFill>
                      </a:defRPr>
                    </a:pPr>
                    <a:r>
                      <a:rPr lang="en-US" sz="1000" b="1"/>
                      <a:t>0,7 Md €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>
                        <a:solidFill>
                          <a:srgbClr val="4F81BD">
                            <a:lumMod val="75000"/>
                          </a:srgbClr>
                        </a:solidFill>
                      </a:defRPr>
                    </a:pPr>
                    <a:r>
                      <a:rPr lang="en-US" sz="1000" b="0" i="0" u="none" strike="noStrike" kern="1200" baseline="0">
                        <a:solidFill>
                          <a:srgbClr val="4F81BD">
                            <a:lumMod val="75000"/>
                          </a:srgbClr>
                        </a:solidFill>
                      </a:rPr>
                      <a:t>(-8,6% par rapport à 2021)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>
                        <a:solidFill>
                          <a:srgbClr val="4F81BD">
                            <a:lumMod val="75000"/>
                          </a:srgbClr>
                        </a:solidFill>
                      </a:defRPr>
                    </a:pPr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00" b="0" i="0" u="none" strike="noStrike" kern="1200" baseline="0">
                      <a:solidFill>
                        <a:srgbClr val="4F81BD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119350636725963"/>
                      <c:h val="0.1886552319046177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11CA-4697-8FEA-19FB6321349D}"/>
                </c:ext>
              </c:extLst>
            </c:dLbl>
            <c:dLbl>
              <c:idx val="5"/>
              <c:layout>
                <c:manualLayout>
                  <c:x val="-4.0732675066445886E-2"/>
                  <c:y val="9.170223288495524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00" b="0" i="0" u="none" strike="noStrike" kern="1200" baseline="0">
                        <a:solidFill>
                          <a:srgbClr val="4F81BD">
                            <a:lumMod val="75000"/>
                          </a:srgb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4AC974C-E85E-4F04-A3E4-CF0904FD43F9}" type="CATEGORYNAME">
                      <a:rPr lang="en-US" sz="1000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>
                          <a:solidFill>
                            <a:srgbClr val="4F81BD">
                              <a:lumMod val="75000"/>
                            </a:srgbClr>
                          </a:solidFill>
                        </a:defRPr>
                      </a:pPr>
                      <a:t>[NOM DE CATÉGORIE]</a:t>
                    </a:fld>
                    <a:endParaRPr lang="en-US" sz="1000" baseline="0"/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>
                        <a:solidFill>
                          <a:srgbClr val="4F81BD">
                            <a:lumMod val="75000"/>
                          </a:srgbClr>
                        </a:solidFill>
                      </a:defRPr>
                    </a:pPr>
                    <a:r>
                      <a:rPr lang="en-US" sz="1000"/>
                      <a:t>(</a:t>
                    </a:r>
                    <a:fld id="{2AE1832F-D3F9-4ABC-AC4B-9426EC9C75B7}" type="VALUE">
                      <a:rPr lang="en-US" sz="1000"/>
                      <a:pPr marL="0" marR="0" lvl="0" indent="0" algn="ctr" defTabSz="914400" rtl="0" eaLnBrk="1" fontAlgn="auto" latinLnBrk="0" hangingPunct="1">
                        <a:lnSpc>
                          <a:spcPct val="100000"/>
                        </a:lnSpc>
                        <a:spcBef>
                          <a:spcPts val="0"/>
                        </a:spcBef>
                        <a:spcAft>
                          <a:spcPts val="0"/>
                        </a:spcAft>
                        <a:buClrTx/>
                        <a:buSzTx/>
                        <a:buFontTx/>
                        <a:buNone/>
                        <a:tabLst/>
                        <a:defRPr>
                          <a:solidFill>
                            <a:srgbClr val="4F81BD">
                              <a:lumMod val="75000"/>
                            </a:srgbClr>
                          </a:solidFill>
                        </a:defRPr>
                      </a:pPr>
                      <a:t>[VALEUR]</a:t>
                    </a:fld>
                    <a:r>
                      <a:rPr lang="en-US" sz="1000"/>
                      <a:t>)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>
                        <a:solidFill>
                          <a:srgbClr val="4F81BD">
                            <a:lumMod val="75000"/>
                          </a:srgbClr>
                        </a:solidFill>
                      </a:defRPr>
                    </a:pPr>
                    <a:r>
                      <a:rPr lang="en-US" sz="1000" b="1"/>
                      <a:t>0,03 Md €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>
                        <a:solidFill>
                          <a:srgbClr val="4F81BD">
                            <a:lumMod val="75000"/>
                          </a:srgbClr>
                        </a:solidFill>
                      </a:defRPr>
                    </a:pPr>
                    <a:r>
                      <a:rPr lang="en-US" sz="1000" b="0" i="0" u="none" strike="noStrike" kern="1200" baseline="0">
                        <a:solidFill>
                          <a:srgbClr val="4F81BD">
                            <a:lumMod val="75000"/>
                          </a:srgbClr>
                        </a:solidFill>
                      </a:rPr>
                      <a:t>(-28,4% par rapport à 2021)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00" b="0" i="0" u="none" strike="noStrike" kern="1200" baseline="0">
                      <a:solidFill>
                        <a:srgbClr val="4F81BD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885432098765428"/>
                      <c:h val="0.2141677238355492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11CA-4697-8FEA-19FB6321349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1CA-4697-8FEA-19FB6321349D}"/>
                </c:ext>
              </c:extLst>
            </c:dLbl>
            <c:dLbl>
              <c:idx val="7"/>
              <c:layout>
                <c:manualLayout>
                  <c:x val="-7.009098619929599E-3"/>
                  <c:y val="-0.1626980051286803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accent1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7490CD9-ED0C-4070-87D1-9B5E1F0448DC}" type="CATEGORYNAME">
                      <a:rPr lang="en-US" sz="1000"/>
                      <a:pPr>
                        <a:defRPr>
                          <a:solidFill>
                            <a:schemeClr val="accent1">
                              <a:lumMod val="75000"/>
                            </a:schemeClr>
                          </a:solidFill>
                        </a:defRPr>
                      </a:pPr>
                      <a:t>[NOM DE CATÉGORIE]</a:t>
                    </a:fld>
                    <a:endParaRPr lang="en-US" sz="1000" baseline="0"/>
                  </a:p>
                  <a:p>
                    <a:pPr>
                      <a:defRPr>
                        <a:solidFill>
                          <a:schemeClr val="accent1">
                            <a:lumMod val="75000"/>
                          </a:schemeClr>
                        </a:solidFill>
                      </a:defRPr>
                    </a:pPr>
                    <a:r>
                      <a:rPr lang="en-US" sz="1000"/>
                      <a:t>(0,2%)</a:t>
                    </a:r>
                  </a:p>
                  <a:p>
                    <a:pPr>
                      <a:defRPr>
                        <a:solidFill>
                          <a:schemeClr val="accent1">
                            <a:lumMod val="75000"/>
                          </a:schemeClr>
                        </a:solidFill>
                      </a:defRPr>
                    </a:pPr>
                    <a:r>
                      <a:rPr lang="en-US" sz="1000" b="1"/>
                      <a:t>0,01 Md €</a:t>
                    </a:r>
                  </a:p>
                  <a:p>
                    <a:pPr>
                      <a:defRPr>
                        <a:solidFill>
                          <a:schemeClr val="accent1">
                            <a:lumMod val="75000"/>
                          </a:schemeClr>
                        </a:solidFill>
                      </a:defRPr>
                    </a:pPr>
                    <a:r>
                      <a:rPr lang="en-US" sz="1000" b="0"/>
                      <a:t>(-67,4% par</a:t>
                    </a:r>
                    <a:r>
                      <a:rPr lang="en-US" sz="1000" b="0" baseline="0"/>
                      <a:t> rapport à 2021)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524563660158051"/>
                      <c:h val="0.2403898645488067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11CA-4697-8FEA-19FB632134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'%produitsRetraite'!$A$2:$A$9</c:f>
              <c:strCache>
                <c:ptCount val="8"/>
                <c:pt idx="0">
                  <c:v>ITAF</c:v>
                </c:pt>
                <c:pt idx="1">
                  <c:v>Contributions Régime général</c:v>
                </c:pt>
                <c:pt idx="2">
                  <c:v>Compensation démographique</c:v>
                </c:pt>
                <c:pt idx="3">
                  <c:v>Cotisations sociales</c:v>
                </c:pt>
                <c:pt idx="4">
                  <c:v>Autres produits**</c:v>
                </c:pt>
                <c:pt idx="5">
                  <c:v>Prise en charge de prestations*</c:v>
                </c:pt>
                <c:pt idx="6">
                  <c:v>Contribution Sociale Généralisée</c:v>
                </c:pt>
                <c:pt idx="7">
                  <c:v>Cotisations prises en charge par l'Etat</c:v>
                </c:pt>
              </c:strCache>
            </c:strRef>
          </c:cat>
          <c:val>
            <c:numRef>
              <c:f>'%produitsRetraite'!$D$2:$D$9</c:f>
              <c:numCache>
                <c:formatCode>0.0%</c:formatCode>
                <c:ptCount val="8"/>
                <c:pt idx="0">
                  <c:v>0.35859355354752454</c:v>
                </c:pt>
                <c:pt idx="1">
                  <c:v>0</c:v>
                </c:pt>
                <c:pt idx="2">
                  <c:v>0.35774434185443876</c:v>
                </c:pt>
                <c:pt idx="3">
                  <c:v>0.19537491271374519</c:v>
                </c:pt>
                <c:pt idx="4">
                  <c:v>8.2467504249031737E-2</c:v>
                </c:pt>
                <c:pt idx="5">
                  <c:v>4.1188257994703827E-3</c:v>
                </c:pt>
                <c:pt idx="6">
                  <c:v>0</c:v>
                </c:pt>
                <c:pt idx="7">
                  <c:v>1.7008618357893684E-3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1CA-4697-8FEA-19FB632134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9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'%charges'!$B$37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'%charges'!$A$38:$A$42</c:f>
              <c:strCache>
                <c:ptCount val="5"/>
                <c:pt idx="0">
                  <c:v>MALADIE (avec IJ Amexa)</c:v>
                </c:pt>
                <c:pt idx="1">
                  <c:v>Atexa</c:v>
                </c:pt>
                <c:pt idx="2">
                  <c:v>FAMILLE</c:v>
                </c:pt>
                <c:pt idx="3">
                  <c:v>RETRAITE</c:v>
                </c:pt>
                <c:pt idx="4">
                  <c:v>RCO</c:v>
                </c:pt>
              </c:strCache>
            </c:strRef>
          </c:cat>
          <c:val>
            <c:numRef>
              <c:f>'%produitsRetraite'!$B$37:$B$41</c:f>
              <c:numCache>
                <c:formatCode>#\ ##0.0</c:formatCode>
                <c:ptCount val="5"/>
                <c:pt idx="0">
                  <c:v>7293.3621882400003</c:v>
                </c:pt>
                <c:pt idx="1">
                  <c:v>437.87688075999995</c:v>
                </c:pt>
                <c:pt idx="2">
                  <c:v>660.46059379999997</c:v>
                </c:pt>
                <c:pt idx="3">
                  <c:v>7204.5720267200004</c:v>
                </c:pt>
                <c:pt idx="4">
                  <c:v>1246.9734998900001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3-4BCE-92A7-9FD1350727EE}"/>
            </c:ext>
          </c:extLst>
        </c:ser>
        <c:ser>
          <c:idx val="1"/>
          <c:order val="1"/>
          <c:tx>
            <c:strRef>
              <c:f>'%charges'!$C$37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666666666666666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F3-4BCE-92A7-9FD1350727EE}"/>
                </c:ext>
              </c:extLst>
            </c:dLbl>
            <c:dLbl>
              <c:idx val="3"/>
              <c:layout>
                <c:manualLayout>
                  <c:x val="1.9444444444444445E-2"/>
                  <c:y val="-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F3-4BCE-92A7-9FD1350727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'%charges'!$A$38:$A$42</c:f>
              <c:strCache>
                <c:ptCount val="5"/>
                <c:pt idx="0">
                  <c:v>MALADIE (avec IJ Amexa)</c:v>
                </c:pt>
                <c:pt idx="1">
                  <c:v>Atexa</c:v>
                </c:pt>
                <c:pt idx="2">
                  <c:v>FAMILLE</c:v>
                </c:pt>
                <c:pt idx="3">
                  <c:v>RETRAITE</c:v>
                </c:pt>
                <c:pt idx="4">
                  <c:v>RCO</c:v>
                </c:pt>
              </c:strCache>
            </c:strRef>
          </c:cat>
          <c:val>
            <c:numRef>
              <c:f>'%produitsRetraite'!$C$37:$C$41</c:f>
              <c:numCache>
                <c:formatCode>#\ ##0.0</c:formatCode>
                <c:ptCount val="5"/>
                <c:pt idx="0">
                  <c:v>7174.6576593399996</c:v>
                </c:pt>
                <c:pt idx="1">
                  <c:v>427.02981454000002</c:v>
                </c:pt>
                <c:pt idx="2">
                  <c:v>690.39751589000002</c:v>
                </c:pt>
                <c:pt idx="3">
                  <c:v>7283.4598962299997</c:v>
                </c:pt>
                <c:pt idx="4">
                  <c:v>1222.1407849899999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F3-4BCE-92A7-9FD135072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490200"/>
        <c:axId val="436490592"/>
      </c:barChart>
      <c:catAx>
        <c:axId val="436490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36490592"/>
        <c:crosses val="autoZero"/>
        <c:auto val="1"/>
        <c:lblAlgn val="ctr"/>
        <c:lblOffset val="100"/>
        <c:noMultiLvlLbl val="0"/>
      </c:catAx>
      <c:valAx>
        <c:axId val="436490592"/>
        <c:scaling>
          <c:orientation val="minMax"/>
          <c:max val="9000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36490200"/>
        <c:crosses val="autoZero"/>
        <c:crossBetween val="between"/>
        <c:majorUnit val="1000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683701957637457"/>
          <c:y val="5.6235016666996152E-2"/>
          <c:w val="0.48194158851162722"/>
          <c:h val="0.86474064799680617"/>
        </c:manualLayout>
      </c:layout>
      <c:pieChart>
        <c:varyColors val="1"/>
        <c:ser>
          <c:idx val="0"/>
          <c:order val="0"/>
          <c:explosion val="14"/>
          <c:dPt>
            <c:idx val="0"/>
            <c:bubble3D val="0"/>
            <c:explosion val="0"/>
            <c:spPr>
              <a:solidFill>
                <a:schemeClr val="accent1">
                  <a:shade val="4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255-4154-97FC-3DDB4B3DEC83}"/>
              </c:ext>
            </c:extLst>
          </c:dPt>
          <c:dPt>
            <c:idx val="1"/>
            <c:bubble3D val="0"/>
            <c:spPr>
              <a:solidFill>
                <a:schemeClr val="accent1">
                  <a:shade val="6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255-4154-97FC-3DDB4B3DEC83}"/>
              </c:ext>
            </c:extLst>
          </c:dPt>
          <c:dPt>
            <c:idx val="2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255-4154-97FC-3DDB4B3DEC83}"/>
              </c:ext>
            </c:extLst>
          </c:dPt>
          <c:dPt>
            <c:idx val="3"/>
            <c:bubble3D val="0"/>
            <c:explosion val="0"/>
            <c:spPr>
              <a:solidFill>
                <a:schemeClr val="accent1">
                  <a:shade val="9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255-4154-97FC-3DDB4B3DEC83}"/>
              </c:ext>
            </c:extLst>
          </c:dPt>
          <c:dPt>
            <c:idx val="4"/>
            <c:bubble3D val="0"/>
            <c:explosion val="0"/>
            <c:spPr>
              <a:solidFill>
                <a:schemeClr val="accent1">
                  <a:tint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255-4154-97FC-3DDB4B3DEC83}"/>
              </c:ext>
            </c:extLst>
          </c:dPt>
          <c:dPt>
            <c:idx val="5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255-4154-97FC-3DDB4B3DEC83}"/>
              </c:ext>
            </c:extLst>
          </c:dPt>
          <c:dPt>
            <c:idx val="6"/>
            <c:bubble3D val="0"/>
            <c:spPr>
              <a:solidFill>
                <a:schemeClr val="accent1">
                  <a:tint val="6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255-4154-97FC-3DDB4B3DEC83}"/>
              </c:ext>
            </c:extLst>
          </c:dPt>
          <c:dPt>
            <c:idx val="7"/>
            <c:bubble3D val="0"/>
            <c:explosion val="0"/>
            <c:spPr>
              <a:solidFill>
                <a:schemeClr val="accent1">
                  <a:tint val="4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255-4154-97FC-3DDB4B3DEC83}"/>
              </c:ext>
            </c:extLst>
          </c:dPt>
          <c:dLbls>
            <c:dLbl>
              <c:idx val="0"/>
              <c:layout>
                <c:manualLayout>
                  <c:x val="-0.17772589732015989"/>
                  <c:y val="0.1857776720576911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6DDDB52-61E5-436F-BB75-C983CFCB8EAA}" type="CATEGORYNAME">
                      <a:rPr lang="en-US">
                        <a:solidFill>
                          <a:schemeClr val="bg1"/>
                        </a:solidFill>
                      </a:rPr>
                      <a:pPr>
                        <a:defRPr sz="1200">
                          <a:solidFill>
                            <a:schemeClr val="bg1"/>
                          </a:solidFill>
                        </a:defRPr>
                      </a:pPr>
                      <a:t>[NOM DE CATÉGORIE]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  <a:p>
                    <a:pPr>
                      <a:defRPr sz="1200"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(</a:t>
                    </a:r>
                    <a:fld id="{DD6D15DD-49BA-49F3-AA6C-3DD608A40C47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 sz="1200">
                          <a:solidFill>
                            <a:schemeClr val="bg1"/>
                          </a:solidFill>
                        </a:defRPr>
                      </a:pPr>
                      <a:t>[VALEUR]</a:t>
                    </a:fld>
                    <a:r>
                      <a:rPr lang="en-US">
                        <a:solidFill>
                          <a:schemeClr val="bg1"/>
                        </a:solidFill>
                      </a:rPr>
                      <a:t>)</a:t>
                    </a:r>
                  </a:p>
                  <a:p>
                    <a:pPr>
                      <a:defRPr sz="1200">
                        <a:solidFill>
                          <a:schemeClr val="bg1"/>
                        </a:solidFill>
                      </a:defRPr>
                    </a:pPr>
                    <a:r>
                      <a:rPr lang="en-US" b="1">
                        <a:solidFill>
                          <a:schemeClr val="bg1"/>
                        </a:solidFill>
                      </a:rPr>
                      <a:t>666,0</a:t>
                    </a:r>
                    <a:r>
                      <a:rPr lang="en-US" b="1" baseline="0">
                        <a:solidFill>
                          <a:schemeClr val="bg1"/>
                        </a:solidFill>
                      </a:rPr>
                      <a:t> </a:t>
                    </a:r>
                    <a:r>
                      <a:rPr lang="en-US" b="1">
                        <a:solidFill>
                          <a:schemeClr val="bg1"/>
                        </a:solidFill>
                      </a:rPr>
                      <a:t>M€</a:t>
                    </a:r>
                  </a:p>
                  <a:p>
                    <a:pPr>
                      <a:defRPr sz="1200">
                        <a:solidFill>
                          <a:schemeClr val="bg1"/>
                        </a:solidFill>
                      </a:defRPr>
                    </a:pPr>
                    <a:r>
                      <a:rPr lang="en-US" sz="1000">
                        <a:solidFill>
                          <a:schemeClr val="bg1"/>
                        </a:solidFill>
                      </a:rPr>
                      <a:t>(+112,5 % par rapport à 2021)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294063560526271"/>
                      <c:h val="0.2255470135382277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255-4154-97FC-3DDB4B3DEC8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55-4154-97FC-3DDB4B3DEC8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55-4154-97FC-3DDB4B3DEC83}"/>
                </c:ext>
              </c:extLst>
            </c:dLbl>
            <c:dLbl>
              <c:idx val="3"/>
              <c:layout>
                <c:manualLayout>
                  <c:x val="0.12864240395147458"/>
                  <c:y val="-0.2026837037319223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98DC48-01B4-4065-8A8D-1FB756FAC1FD}" type="CATEGORYNAME">
                      <a:rPr lang="en-US">
                        <a:solidFill>
                          <a:schemeClr val="bg1"/>
                        </a:solidFill>
                      </a:rPr>
                      <a:pPr>
                        <a:defRPr sz="1200">
                          <a:solidFill>
                            <a:schemeClr val="bg1"/>
                          </a:solidFill>
                        </a:defRPr>
                      </a:pPr>
                      <a:t>[NOM DE CATÉGORIE]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  <a:p>
                    <a:pPr>
                      <a:defRPr sz="1200"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(</a:t>
                    </a:r>
                    <a:fld id="{1E57013C-FC11-4C47-8737-C88CE48AFF05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 sz="1200">
                          <a:solidFill>
                            <a:schemeClr val="bg1"/>
                          </a:solidFill>
                        </a:defRPr>
                      </a:pPr>
                      <a:t>[VALEUR]</a:t>
                    </a:fld>
                    <a:r>
                      <a:rPr lang="en-US">
                        <a:solidFill>
                          <a:schemeClr val="bg1"/>
                        </a:solidFill>
                      </a:rPr>
                      <a:t>)</a:t>
                    </a:r>
                  </a:p>
                  <a:p>
                    <a:pPr>
                      <a:defRPr sz="1200">
                        <a:solidFill>
                          <a:schemeClr val="bg1"/>
                        </a:solidFill>
                      </a:defRPr>
                    </a:pPr>
                    <a:r>
                      <a:rPr lang="en-US" b="1">
                        <a:solidFill>
                          <a:schemeClr val="bg1"/>
                        </a:solidFill>
                      </a:rPr>
                      <a:t>470,0 M€</a:t>
                    </a:r>
                  </a:p>
                  <a:p>
                    <a:pPr>
                      <a:defRPr sz="1200">
                        <a:solidFill>
                          <a:schemeClr val="bg1"/>
                        </a:solidFill>
                      </a:defRPr>
                    </a:pPr>
                    <a:r>
                      <a:rPr lang="en-US" sz="1000">
                        <a:solidFill>
                          <a:schemeClr val="bg1"/>
                        </a:solidFill>
                      </a:rPr>
                      <a:t>(+3,3 % par rapport à 2021) 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506377785579349"/>
                      <c:h val="0.2752501385131831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255-4154-97FC-3DDB4B3DEC83}"/>
                </c:ext>
              </c:extLst>
            </c:dLbl>
            <c:dLbl>
              <c:idx val="4"/>
              <c:layout>
                <c:manualLayout>
                  <c:x val="-5.3197098394196791E-2"/>
                  <c:y val="0.26131990661570104"/>
                </c:manualLayout>
              </c:layout>
              <c:tx>
                <c:rich>
                  <a:bodyPr/>
                  <a:lstStyle/>
                  <a:p>
                    <a:fld id="{B0FC4307-6F42-4DDB-8288-E9659F85AB80}" type="CATEGORYNAME">
                      <a:rPr lang="en-US"/>
                      <a:pPr/>
                      <a:t>[NOM DE CATÉGORIE]</a:t>
                    </a:fld>
                    <a:endParaRPr lang="en-US" baseline="0"/>
                  </a:p>
                  <a:p>
                    <a:r>
                      <a:rPr lang="en-US"/>
                      <a:t>(</a:t>
                    </a:r>
                    <a:fld id="{F7658547-ABE1-4200-9FDE-60047C4EA247}" type="VALUE">
                      <a:rPr lang="en-US"/>
                      <a:pPr/>
                      <a:t>[VALEUR]</a:t>
                    </a:fld>
                    <a:r>
                      <a:rPr lang="en-US"/>
                      <a:t>)</a:t>
                    </a:r>
                  </a:p>
                  <a:p>
                    <a:r>
                      <a:rPr lang="en-US" b="1"/>
                      <a:t>109,0 M€</a:t>
                    </a:r>
                  </a:p>
                  <a:p>
                    <a:r>
                      <a:rPr lang="en-US" sz="1000"/>
                      <a:t>(-17,1% par rapport à 2021)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288886641978743"/>
                      <c:h val="0.2255471279282121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6255-4154-97FC-3DDB4B3DEC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255-4154-97FC-3DDB4B3DEC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255-4154-97FC-3DDB4B3DEC83}"/>
                </c:ext>
              </c:extLst>
            </c:dLbl>
            <c:dLbl>
              <c:idx val="7"/>
              <c:layout>
                <c:manualLayout>
                  <c:x val="-1.1553571727100967E-3"/>
                  <c:y val="-2.7332575228323891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accent1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Cotisations</a:t>
                    </a:r>
                    <a:r>
                      <a:rPr lang="en-US" baseline="0"/>
                      <a:t> prises en charge par l'Eat</a:t>
                    </a:r>
                  </a:p>
                  <a:p>
                    <a:pPr>
                      <a:defRPr sz="1200">
                        <a:solidFill>
                          <a:schemeClr val="accent1">
                            <a:lumMod val="75000"/>
                          </a:schemeClr>
                        </a:solidFill>
                      </a:defRPr>
                    </a:pPr>
                    <a:r>
                      <a:rPr lang="en-US"/>
                      <a:t>(0,2%)</a:t>
                    </a:r>
                  </a:p>
                  <a:p>
                    <a:pPr>
                      <a:defRPr sz="1200">
                        <a:solidFill>
                          <a:schemeClr val="accent1">
                            <a:lumMod val="75000"/>
                          </a:schemeClr>
                        </a:solidFill>
                      </a:defRPr>
                    </a:pPr>
                    <a:r>
                      <a:rPr lang="en-US" b="1"/>
                      <a:t>1,7M€</a:t>
                    </a:r>
                  </a:p>
                  <a:p>
                    <a:pPr>
                      <a:defRPr sz="1200">
                        <a:solidFill>
                          <a:schemeClr val="accent1">
                            <a:lumMod val="75000"/>
                          </a:schemeClr>
                        </a:solidFill>
                      </a:defRPr>
                    </a:pPr>
                    <a:r>
                      <a:rPr lang="en-US" sz="1000"/>
                      <a:t>(-75,6% par rapport</a:t>
                    </a:r>
                    <a:r>
                      <a:rPr lang="en-US" sz="1000" baseline="0"/>
                      <a:t> à 2021)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accen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094703049759"/>
                      <c:h val="0.29465921472739237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F-6255-4154-97FC-3DDB4B3DEC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'%produitsRCO'!$A$2:$A$9</c:f>
              <c:strCache>
                <c:ptCount val="8"/>
                <c:pt idx="0">
                  <c:v>ITAF</c:v>
                </c:pt>
                <c:pt idx="1">
                  <c:v>Contributions Régime général</c:v>
                </c:pt>
                <c:pt idx="2">
                  <c:v>Compensation démographique</c:v>
                </c:pt>
                <c:pt idx="3">
                  <c:v>Cotisations sociales</c:v>
                </c:pt>
                <c:pt idx="4">
                  <c:v>Autres produits**</c:v>
                </c:pt>
                <c:pt idx="5">
                  <c:v>Prise en charge de prestations*</c:v>
                </c:pt>
                <c:pt idx="6">
                  <c:v>Contribution Sociale Généralisée</c:v>
                </c:pt>
                <c:pt idx="7">
                  <c:v>Cotisations prises en charge par l'Etat</c:v>
                </c:pt>
              </c:strCache>
            </c:strRef>
          </c:cat>
          <c:val>
            <c:numRef>
              <c:f>'%produitsRCO'!$D$2:$D$9</c:f>
              <c:numCache>
                <c:formatCode>0.0%</c:formatCode>
                <c:ptCount val="8"/>
                <c:pt idx="0">
                  <c:v>0.48146267347981081</c:v>
                </c:pt>
                <c:pt idx="1">
                  <c:v>0</c:v>
                </c:pt>
                <c:pt idx="2">
                  <c:v>0</c:v>
                </c:pt>
                <c:pt idx="3">
                  <c:v>0.42886305024530263</c:v>
                </c:pt>
                <c:pt idx="4">
                  <c:v>8.9674276274886583E-2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255-4154-97FC-3DDB4B3DE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9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'%charges'!$B$37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'%charges'!$A$38:$A$42</c:f>
              <c:strCache>
                <c:ptCount val="5"/>
                <c:pt idx="0">
                  <c:v>MALADIE (avec IJ Amexa)</c:v>
                </c:pt>
                <c:pt idx="1">
                  <c:v>Atexa</c:v>
                </c:pt>
                <c:pt idx="2">
                  <c:v>FAMILLE</c:v>
                </c:pt>
                <c:pt idx="3">
                  <c:v>RETRAITE</c:v>
                </c:pt>
                <c:pt idx="4">
                  <c:v>RCO</c:v>
                </c:pt>
              </c:strCache>
            </c:strRef>
          </c:cat>
          <c:val>
            <c:numRef>
              <c:f>'%produitsRCO'!$B$41:$B$45</c:f>
              <c:numCache>
                <c:formatCode>#\ ##0.0</c:formatCode>
                <c:ptCount val="5"/>
                <c:pt idx="0">
                  <c:v>7293.3621882400003</c:v>
                </c:pt>
                <c:pt idx="1">
                  <c:v>437.87688075999995</c:v>
                </c:pt>
                <c:pt idx="2">
                  <c:v>660.46059379999997</c:v>
                </c:pt>
                <c:pt idx="3">
                  <c:v>7204.5720267200004</c:v>
                </c:pt>
                <c:pt idx="4">
                  <c:v>1246.9734998900001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EB-4CF7-A5E1-28021C3ED2B1}"/>
            </c:ext>
          </c:extLst>
        </c:ser>
        <c:ser>
          <c:idx val="1"/>
          <c:order val="1"/>
          <c:tx>
            <c:strRef>
              <c:f>'%charges'!$C$37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666666666666666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EB-4CF7-A5E1-28021C3ED2B1}"/>
                </c:ext>
              </c:extLst>
            </c:dLbl>
            <c:dLbl>
              <c:idx val="3"/>
              <c:layout>
                <c:manualLayout>
                  <c:x val="1.9444444444444445E-2"/>
                  <c:y val="-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EB-4CF7-A5E1-28021C3ED2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'%charges'!$A$38:$A$42</c:f>
              <c:strCache>
                <c:ptCount val="5"/>
                <c:pt idx="0">
                  <c:v>MALADIE (avec IJ Amexa)</c:v>
                </c:pt>
                <c:pt idx="1">
                  <c:v>Atexa</c:v>
                </c:pt>
                <c:pt idx="2">
                  <c:v>FAMILLE</c:v>
                </c:pt>
                <c:pt idx="3">
                  <c:v>RETRAITE</c:v>
                </c:pt>
                <c:pt idx="4">
                  <c:v>RCO</c:v>
                </c:pt>
              </c:strCache>
            </c:strRef>
          </c:cat>
          <c:val>
            <c:numRef>
              <c:f>'%produitsRCO'!$C$41:$C$45</c:f>
              <c:numCache>
                <c:formatCode>#\ ##0.0</c:formatCode>
                <c:ptCount val="5"/>
                <c:pt idx="0">
                  <c:v>7174.6576593399996</c:v>
                </c:pt>
                <c:pt idx="1">
                  <c:v>427.02981454000002</c:v>
                </c:pt>
                <c:pt idx="2">
                  <c:v>690.39751589000002</c:v>
                </c:pt>
                <c:pt idx="3">
                  <c:v>7283.4598962299997</c:v>
                </c:pt>
                <c:pt idx="4">
                  <c:v>1222.1407849899999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EB-4CF7-A5E1-28021C3ED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40680"/>
        <c:axId val="436181128"/>
      </c:barChart>
      <c:catAx>
        <c:axId val="118340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36181128"/>
        <c:crosses val="autoZero"/>
        <c:auto val="1"/>
        <c:lblAlgn val="ctr"/>
        <c:lblOffset val="100"/>
        <c:noMultiLvlLbl val="0"/>
      </c:catAx>
      <c:valAx>
        <c:axId val="436181128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118340680"/>
        <c:crosses val="autoZero"/>
        <c:crossBetween val="between"/>
        <c:majorUnit val="2000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0C5-4E9C-ADBF-0D6D3F364A33}"/>
              </c:ext>
            </c:extLst>
          </c:dPt>
          <c:dPt>
            <c:idx val="1"/>
            <c:bubble3D val="0"/>
            <c:spPr>
              <a:solidFill>
                <a:schemeClr val="accent5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0C5-4E9C-ADBF-0D6D3F364A33}"/>
              </c:ext>
            </c:extLst>
          </c:dPt>
          <c:dPt>
            <c:idx val="2"/>
            <c:bubble3D val="0"/>
            <c:spPr>
              <a:solidFill>
                <a:schemeClr val="accent5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0C5-4E9C-ADBF-0D6D3F364A33}"/>
              </c:ext>
            </c:extLst>
          </c:dPt>
          <c:dPt>
            <c:idx val="3"/>
            <c:bubble3D val="0"/>
            <c:spPr>
              <a:solidFill>
                <a:schemeClr val="accent5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0C5-4E9C-ADBF-0D6D3F364A33}"/>
              </c:ext>
            </c:extLst>
          </c:dPt>
          <c:dPt>
            <c:idx val="4"/>
            <c:bubble3D val="0"/>
            <c:spPr>
              <a:solidFill>
                <a:schemeClr val="accent5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0C5-4E9C-ADBF-0D6D3F364A33}"/>
              </c:ext>
            </c:extLst>
          </c:dPt>
          <c:dPt>
            <c:idx val="5"/>
            <c:bubble3D val="0"/>
            <c:spPr>
              <a:solidFill>
                <a:schemeClr val="accent5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0C5-4E9C-ADBF-0D6D3F364A33}"/>
              </c:ext>
            </c:extLst>
          </c:dPt>
          <c:dLbls>
            <c:dLbl>
              <c:idx val="0"/>
              <c:layout>
                <c:manualLayout>
                  <c:x val="2.8141108634428348E-2"/>
                  <c:y val="2.9845699072546979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1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>
                        <a:solidFill>
                          <a:schemeClr val="bg1"/>
                        </a:solidFill>
                      </a:rPr>
                      <a:t>Retraite</a:t>
                    </a:r>
                  </a:p>
                  <a:p>
                    <a:pPr>
                      <a:defRPr sz="1100">
                        <a:solidFill>
                          <a:schemeClr val="bg1"/>
                        </a:solidFill>
                      </a:defRPr>
                    </a:pPr>
                    <a:r>
                      <a:rPr lang="en-US" sz="1100" b="1">
                        <a:solidFill>
                          <a:schemeClr val="bg1"/>
                        </a:solidFill>
                      </a:rPr>
                      <a:t>48,2 %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00C5-4E9C-ADBF-0D6D3F364A33}"/>
                </c:ext>
              </c:extLst>
            </c:dLbl>
            <c:dLbl>
              <c:idx val="1"/>
              <c:layout>
                <c:manualLayout>
                  <c:x val="1.7072204944764868E-3"/>
                  <c:y val="9.8789589086033507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1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>
                        <a:solidFill>
                          <a:schemeClr val="bg1"/>
                        </a:solidFill>
                      </a:rPr>
                      <a:t>RCO</a:t>
                    </a:r>
                  </a:p>
                  <a:p>
                    <a:pPr>
                      <a:defRPr sz="1100">
                        <a:solidFill>
                          <a:schemeClr val="bg1"/>
                        </a:solidFill>
                      </a:defRPr>
                    </a:pPr>
                    <a:r>
                      <a:rPr lang="en-US" sz="1100">
                        <a:solidFill>
                          <a:schemeClr val="bg1"/>
                        </a:solidFill>
                      </a:rPr>
                      <a:t> </a:t>
                    </a:r>
                    <a:r>
                      <a:rPr lang="en-US" sz="1100" b="1">
                        <a:solidFill>
                          <a:schemeClr val="bg1"/>
                        </a:solidFill>
                      </a:rPr>
                      <a:t>17,7 %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00C5-4E9C-ADBF-0D6D3F364A33}"/>
                </c:ext>
              </c:extLst>
            </c:dLbl>
            <c:dLbl>
              <c:idx val="2"/>
              <c:layout>
                <c:manualLayout>
                  <c:x val="8.2931799273012021E-4"/>
                  <c:y val="-4.009894855419428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1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>
                        <a:solidFill>
                          <a:schemeClr val="bg1"/>
                        </a:solidFill>
                      </a:rPr>
                      <a:t>Maladie </a:t>
                    </a:r>
                  </a:p>
                  <a:p>
                    <a:pPr>
                      <a:defRPr sz="1100">
                        <a:solidFill>
                          <a:schemeClr val="bg1"/>
                        </a:solidFill>
                      </a:defRPr>
                    </a:pPr>
                    <a:r>
                      <a:rPr lang="en-US" sz="1100" b="1">
                        <a:solidFill>
                          <a:schemeClr val="bg1"/>
                        </a:solidFill>
                      </a:rPr>
                      <a:t>19,4 %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00C5-4E9C-ADBF-0D6D3F364A33}"/>
                </c:ext>
              </c:extLst>
            </c:dLbl>
            <c:dLbl>
              <c:idx val="3"/>
              <c:layout>
                <c:manualLayout>
                  <c:x val="0.1178434172884327"/>
                  <c:y val="-7.500262834355105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100" b="0" i="0" u="none" strike="noStrike" kern="1200" baseline="0">
                        <a:solidFill>
                          <a:schemeClr val="accent5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Famille</a:t>
                    </a:r>
                  </a:p>
                  <a:p>
                    <a:pPr>
                      <a:defRPr sz="1100">
                        <a:solidFill>
                          <a:schemeClr val="accent5">
                            <a:lumMod val="75000"/>
                          </a:schemeClr>
                        </a:solidFill>
                      </a:defRPr>
                    </a:pPr>
                    <a:r>
                      <a:rPr lang="en-US" sz="1100" b="1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5,1 %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accent5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00C5-4E9C-ADBF-0D6D3F364A33}"/>
                </c:ext>
              </c:extLst>
            </c:dLbl>
            <c:dLbl>
              <c:idx val="4"/>
              <c:layout>
                <c:manualLayout>
                  <c:x val="0.14125189644202996"/>
                  <c:y val="2.757105288733014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100" b="0" i="0" u="none" strike="noStrike" kern="1200" baseline="0">
                        <a:solidFill>
                          <a:schemeClr val="accent5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Atexa</a:t>
                    </a:r>
                  </a:p>
                  <a:p>
                    <a:pPr>
                      <a:defRPr sz="1100">
                        <a:solidFill>
                          <a:schemeClr val="accent5">
                            <a:lumMod val="75000"/>
                          </a:schemeClr>
                        </a:solidFill>
                      </a:defRPr>
                    </a:pPr>
                    <a:r>
                      <a:rPr lang="en-US" sz="1100" b="1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7,1 %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accent5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00C5-4E9C-ADBF-0D6D3F364A33}"/>
                </c:ext>
              </c:extLst>
            </c:dLbl>
            <c:dLbl>
              <c:idx val="5"/>
              <c:layout>
                <c:manualLayout>
                  <c:x val="0.12472355325387185"/>
                  <c:y val="0.16604664253046439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100" b="0" i="0" u="none" strike="noStrike" kern="1200" baseline="0">
                        <a:solidFill>
                          <a:schemeClr val="accent5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IJ</a:t>
                    </a:r>
                    <a:r>
                      <a:rPr lang="en-US" sz="1100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 Amexa</a:t>
                    </a:r>
                    <a:endParaRPr lang="en-US" sz="1100">
                      <a:solidFill>
                        <a:schemeClr val="accent5">
                          <a:lumMod val="75000"/>
                        </a:schemeClr>
                      </a:solidFill>
                    </a:endParaRPr>
                  </a:p>
                  <a:p>
                    <a:pPr>
                      <a:defRPr sz="1100">
                        <a:solidFill>
                          <a:schemeClr val="accent5">
                            <a:lumMod val="75000"/>
                          </a:schemeClr>
                        </a:solidFill>
                      </a:defRPr>
                    </a:pPr>
                    <a:r>
                      <a:rPr lang="en-US" sz="1100" b="1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2,5 %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accent5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00C5-4E9C-ADBF-0D6D3F364A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'NSA1'!$A$12:$A$17</c:f>
              <c:strCache>
                <c:ptCount val="6"/>
                <c:pt idx="0">
                  <c:v>ü retraite</c:v>
                </c:pt>
                <c:pt idx="1">
                  <c:v>ü retraite complémentaire obligatoire</c:v>
                </c:pt>
                <c:pt idx="2">
                  <c:v>ü maladie et invalidité</c:v>
                </c:pt>
                <c:pt idx="3">
                  <c:v>ü famille</c:v>
                </c:pt>
                <c:pt idx="4">
                  <c:v>ü accident du travail et maladie professionnelle</c:v>
                </c:pt>
                <c:pt idx="5">
                  <c:v>ü IJ AMEXA</c:v>
                </c:pt>
              </c:strCache>
            </c:strRef>
          </c:cat>
          <c:val>
            <c:numRef>
              <c:f>'NSA1'!$D$12:$D$17</c:f>
              <c:numCache>
                <c:formatCode>0.0%</c:formatCode>
                <c:ptCount val="6"/>
                <c:pt idx="0">
                  <c:v>0.48173934227015908</c:v>
                </c:pt>
                <c:pt idx="1">
                  <c:v>0.17743751750535811</c:v>
                </c:pt>
                <c:pt idx="2">
                  <c:v>0.1937601661015515</c:v>
                </c:pt>
                <c:pt idx="3">
                  <c:v>5.0571565608192745E-2</c:v>
                </c:pt>
                <c:pt idx="4">
                  <c:v>7.1076917832000014E-2</c:v>
                </c:pt>
                <c:pt idx="5">
                  <c:v>2.541449068273853E-2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0C5-4E9C-ADBF-0D6D3F364A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27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63472537938004"/>
          <c:y val="8.8890799732937634E-2"/>
          <c:w val="0.53150533778906051"/>
          <c:h val="0.8521343284324948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4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093-4D92-BCEE-FC3E6593564C}"/>
              </c:ext>
            </c:extLst>
          </c:dPt>
          <c:dPt>
            <c:idx val="1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093-4D92-BCEE-FC3E6593564C}"/>
              </c:ext>
            </c:extLst>
          </c:dPt>
          <c:dPt>
            <c:idx val="2"/>
            <c:bubble3D val="0"/>
            <c:spPr>
              <a:solidFill>
                <a:schemeClr val="accent5">
                  <a:shade val="8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093-4D92-BCEE-FC3E6593564C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093-4D92-BCEE-FC3E6593564C}"/>
              </c:ext>
            </c:extLst>
          </c:dPt>
          <c:dPt>
            <c:idx val="4"/>
            <c:bubble3D val="0"/>
            <c:spPr>
              <a:solidFill>
                <a:schemeClr val="accent5">
                  <a:tint val="8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093-4D92-BCEE-FC3E6593564C}"/>
              </c:ext>
            </c:extLst>
          </c:dPt>
          <c:dPt>
            <c:idx val="5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093-4D92-BCEE-FC3E6593564C}"/>
              </c:ext>
            </c:extLst>
          </c:dPt>
          <c:dPt>
            <c:idx val="6"/>
            <c:bubble3D val="0"/>
            <c:spPr>
              <a:solidFill>
                <a:schemeClr val="accent5">
                  <a:tint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093-4D92-BCEE-FC3E6593564C}"/>
              </c:ext>
            </c:extLst>
          </c:dPt>
          <c:dLbls>
            <c:dLbl>
              <c:idx val="0"/>
              <c:layout>
                <c:manualLayout>
                  <c:x val="0.18544238922797371"/>
                  <c:y val="0.23352755347313406"/>
                </c:manualLayout>
              </c:layout>
              <c:tx>
                <c:rich>
                  <a:bodyPr/>
                  <a:lstStyle/>
                  <a:p>
                    <a:r>
                      <a:rPr lang="en-US" sz="1100" b="1">
                        <a:solidFill>
                          <a:schemeClr val="bg1"/>
                        </a:solidFill>
                      </a:rPr>
                      <a:t>Prestations légales, RCO et IJ Amexa
86,3%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171364674090295"/>
                      <c:h val="0.38929104525488745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1-7093-4D92-BCEE-FC3E6593564C}"/>
                </c:ext>
              </c:extLst>
            </c:dLbl>
            <c:dLbl>
              <c:idx val="1"/>
              <c:layout>
                <c:manualLayout>
                  <c:x val="0.20762257528459832"/>
                  <c:y val="-0.2332721366585546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100" b="1" i="0" u="none" strike="noStrike" kern="1200" baseline="0">
                        <a:solidFill>
                          <a:schemeClr val="accent5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Charges techniques*
2,4%</a:t>
                    </a:r>
                    <a:endParaRPr lang="en-US" b="1">
                      <a:solidFill>
                        <a:schemeClr val="accent5">
                          <a:lumMod val="75000"/>
                        </a:schemeClr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accent5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763313609467455"/>
                      <c:h val="0.14580945344276738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7093-4D92-BCEE-FC3E6593564C}"/>
                </c:ext>
              </c:extLst>
            </c:dLbl>
            <c:dLbl>
              <c:idx val="2"/>
              <c:layout>
                <c:manualLayout>
                  <c:x val="0.23173663203342185"/>
                  <c:y val="-0.1421087832375999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100" b="1" i="0" u="none" strike="noStrike" kern="1200" baseline="0">
                        <a:solidFill>
                          <a:schemeClr val="accent5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D868617-1C4C-4283-8587-E1022AD78CA0}" type="CATEGORYNAME">
                      <a:rPr lang="en-US" sz="1100" b="1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>
                        <a:defRPr sz="1100" b="1">
                          <a:solidFill>
                            <a:schemeClr val="accent5">
                              <a:lumMod val="75000"/>
                            </a:schemeClr>
                          </a:solidFill>
                        </a:defRPr>
                      </a:pPr>
                      <a:t>[NOM DE CATÉGORIE]</a:t>
                    </a:fld>
                    <a:endParaRPr lang="en-US" sz="1100" b="1" baseline="0">
                      <a:solidFill>
                        <a:schemeClr val="accent5">
                          <a:lumMod val="75000"/>
                        </a:schemeClr>
                      </a:solidFill>
                    </a:endParaRPr>
                  </a:p>
                  <a:p>
                    <a:pPr>
                      <a:defRPr sz="1100" b="1">
                        <a:solidFill>
                          <a:schemeClr val="accent5">
                            <a:lumMod val="75000"/>
                          </a:schemeClr>
                        </a:solidFill>
                      </a:defRPr>
                    </a:pPr>
                    <a:r>
                      <a:rPr lang="en-US" sz="1100" b="1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6,6%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accent5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968193324946807"/>
                      <c:h val="0.1096201921226300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093-4D92-BCEE-FC3E6593564C}"/>
                </c:ext>
              </c:extLst>
            </c:dLbl>
            <c:dLbl>
              <c:idx val="3"/>
              <c:layout>
                <c:manualLayout>
                  <c:x val="0.20846883784497353"/>
                  <c:y val="-9.4736783015196169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accent5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93-4D92-BCEE-FC3E6593564C}"/>
                </c:ext>
              </c:extLst>
            </c:dLbl>
            <c:dLbl>
              <c:idx val="4"/>
              <c:layout>
                <c:manualLayout>
                  <c:x val="0.20776002112162001"/>
                  <c:y val="4.585179569648724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accent5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894611637281546"/>
                      <c:h val="0.1968690907914759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093-4D92-BCEE-FC3E6593564C}"/>
                </c:ext>
              </c:extLst>
            </c:dLbl>
            <c:dLbl>
              <c:idx val="5"/>
              <c:layout>
                <c:manualLayout>
                  <c:x val="0.25325024460699808"/>
                  <c:y val="0.1718798784477928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100" b="1" i="0" u="none" strike="noStrike" kern="1200" baseline="0">
                        <a:solidFill>
                          <a:schemeClr val="accent5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1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Autres charges
&lt; 0,1%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accent5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7093-4D92-BCEE-FC3E6593564C}"/>
                </c:ext>
              </c:extLst>
            </c:dLbl>
            <c:dLbl>
              <c:idx val="6"/>
              <c:layout>
                <c:manualLayout>
                  <c:x val="0.10774355868238371"/>
                  <c:y val="0.26105549829134039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100" b="1" i="0" u="none" strike="noStrike" kern="1200" baseline="0">
                        <a:solidFill>
                          <a:schemeClr val="accent5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="1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Charges financières
&lt;</a:t>
                    </a:r>
                    <a:r>
                      <a:rPr lang="en-US" sz="1200" b="1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 </a:t>
                    </a:r>
                    <a:r>
                      <a:rPr lang="en-US" sz="1200" b="1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0,1%</a:t>
                    </a:r>
                    <a:endParaRPr lang="en-US" b="1">
                      <a:solidFill>
                        <a:schemeClr val="accent5">
                          <a:lumMod val="75000"/>
                        </a:schemeClr>
                      </a:solidFill>
                    </a:endParaRPr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accent5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7093-4D92-BCEE-FC3E6593564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accent5">
                      <a:lumMod val="50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'%charges'!$A$2:$A$8</c:f>
              <c:strCache>
                <c:ptCount val="7"/>
                <c:pt idx="0">
                  <c:v>Prestations légales</c:v>
                </c:pt>
                <c:pt idx="1">
                  <c:v>Charges techniques*</c:v>
                </c:pt>
                <c:pt idx="2">
                  <c:v>Dotations aux provisions</c:v>
                </c:pt>
                <c:pt idx="3">
                  <c:v>Gestion</c:v>
                </c:pt>
                <c:pt idx="4">
                  <c:v>Prestations extra-légales</c:v>
                </c:pt>
                <c:pt idx="5">
                  <c:v>Autres charges</c:v>
                </c:pt>
                <c:pt idx="6">
                  <c:v>Charges financières</c:v>
                </c:pt>
              </c:strCache>
            </c:strRef>
          </c:cat>
          <c:val>
            <c:numRef>
              <c:f>'%charges'!$C$2:$C$8</c:f>
              <c:numCache>
                <c:formatCode>#\ ##0.0</c:formatCode>
                <c:ptCount val="7"/>
                <c:pt idx="0">
                  <c:v>14352.601921060001</c:v>
                </c:pt>
                <c:pt idx="1">
                  <c:v>393.85135588999998</c:v>
                </c:pt>
                <c:pt idx="2">
                  <c:v>1104.6694877600003</c:v>
                </c:pt>
                <c:pt idx="3">
                  <c:v>502.38554517</c:v>
                </c:pt>
                <c:pt idx="4">
                  <c:v>266.96442456000113</c:v>
                </c:pt>
                <c:pt idx="5">
                  <c:v>10.627469749999999</c:v>
                </c:pt>
                <c:pt idx="6">
                  <c:v>9.5411951200000011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093-4D92-BCEE-FC3E659356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5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717717521793526E-2"/>
          <c:y val="5.5258981276074655E-2"/>
          <c:w val="0.90721995728591276"/>
          <c:h val="0.78269786752306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'%charges'!$B$37</c:f>
              <c:strCache>
                <c:ptCount val="1"/>
                <c:pt idx="0">
                  <c:v>2022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60000"/>
                    <a:lumOff val="40000"/>
                    <a:shade val="30000"/>
                    <a:satMod val="115000"/>
                  </a:schemeClr>
                </a:gs>
                <a:gs pos="50000">
                  <a:schemeClr val="accent5">
                    <a:lumMod val="60000"/>
                    <a:lumOff val="40000"/>
                    <a:shade val="67500"/>
                    <a:satMod val="115000"/>
                  </a:schemeClr>
                </a:gs>
                <a:gs pos="100000">
                  <a:schemeClr val="accent5">
                    <a:lumMod val="60000"/>
                    <a:lumOff val="40000"/>
                    <a:shade val="100000"/>
                    <a:satMod val="115000"/>
                  </a:schemeClr>
                </a:gs>
              </a:gsLst>
              <a:lin ang="18900000" scaled="1"/>
              <a:tileRect/>
            </a:gradFill>
          </c:spPr>
          <c:invertIfNegative val="0"/>
          <c:cat>
            <c:strRef>
              <c:f>'%charges'!$A$38:$A$43</c:f>
              <c:strCache>
                <c:ptCount val="6"/>
                <c:pt idx="0">
                  <c:v>MALADIE (avec IJ Amexa)</c:v>
                </c:pt>
                <c:pt idx="1">
                  <c:v>Atexa</c:v>
                </c:pt>
                <c:pt idx="2">
                  <c:v>FAMILLE</c:v>
                </c:pt>
                <c:pt idx="3">
                  <c:v>RETRAITE</c:v>
                </c:pt>
                <c:pt idx="4">
                  <c:v>RCO</c:v>
                </c:pt>
                <c:pt idx="5">
                  <c:v>Total DEPENSES</c:v>
                </c:pt>
              </c:strCache>
            </c:strRef>
          </c:cat>
          <c:val>
            <c:numRef>
              <c:f>'%charges'!$B$38:$B$43</c:f>
              <c:numCache>
                <c:formatCode>#\ ##0.0</c:formatCode>
                <c:ptCount val="6"/>
                <c:pt idx="0">
                  <c:v>7303.6836321400006</c:v>
                </c:pt>
                <c:pt idx="1">
                  <c:v>422.34210016999998</c:v>
                </c:pt>
                <c:pt idx="2">
                  <c:v>660.4635208200001</c:v>
                </c:pt>
                <c:pt idx="3">
                  <c:v>7099.6168018699982</c:v>
                </c:pt>
                <c:pt idx="4">
                  <c:v>1172.71626062</c:v>
                </c:pt>
                <c:pt idx="5">
                  <c:v>16658.82231562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9E-4309-A993-485F9A7820A4}"/>
            </c:ext>
          </c:extLst>
        </c:ser>
        <c:ser>
          <c:idx val="1"/>
          <c:order val="1"/>
          <c:tx>
            <c:strRef>
              <c:f>'%charges'!$C$37</c:f>
              <c:strCache>
                <c:ptCount val="1"/>
                <c:pt idx="0">
                  <c:v>2023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75000"/>
                    <a:shade val="30000"/>
                    <a:satMod val="115000"/>
                  </a:schemeClr>
                </a:gs>
                <a:gs pos="50000">
                  <a:schemeClr val="accent5">
                    <a:lumMod val="75000"/>
                    <a:shade val="67500"/>
                    <a:satMod val="115000"/>
                  </a:schemeClr>
                </a:gs>
                <a:gs pos="100000">
                  <a:schemeClr val="accent5">
                    <a:lumMod val="75000"/>
                    <a:shade val="100000"/>
                    <a:satMod val="115000"/>
                  </a:schemeClr>
                </a:gs>
              </a:gsLst>
              <a:lin ang="2700000" scaled="1"/>
              <a:tileRect/>
            </a:gradFill>
            <a:ln>
              <a:noFill/>
            </a:ln>
          </c:spPr>
          <c:invertIfNegative val="0"/>
          <c:dPt>
            <c:idx val="5"/>
            <c:invertIfNegative val="0"/>
            <c:bubble3D val="0"/>
            <c:spPr>
              <a:gradFill flip="none" rotWithShape="1">
                <a:gsLst>
                  <a:gs pos="0">
                    <a:schemeClr val="accent5">
                      <a:lumMod val="75000"/>
                      <a:shade val="30000"/>
                      <a:satMod val="115000"/>
                    </a:schemeClr>
                  </a:gs>
                  <a:gs pos="50000">
                    <a:schemeClr val="accent5">
                      <a:lumMod val="75000"/>
                      <a:shade val="67500"/>
                      <a:satMod val="115000"/>
                    </a:schemeClr>
                  </a:gs>
                  <a:gs pos="100000">
                    <a:schemeClr val="accent5">
                      <a:lumMod val="75000"/>
                      <a:shade val="100000"/>
                      <a:satMod val="115000"/>
                    </a:schemeClr>
                  </a:gs>
                </a:gsLst>
                <a:lin ang="18900000" scaled="1"/>
                <a:tileRect/>
              </a:gra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3C9E-4309-A993-485F9A7820A4}"/>
              </c:ext>
            </c:extLst>
          </c:dPt>
          <c:dLbls>
            <c:dLbl>
              <c:idx val="0"/>
              <c:layout>
                <c:manualLayout>
                  <c:x val="1.3888888888888888E-2"/>
                  <c:y val="-2.31481481481481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9E-4309-A993-485F9A7820A4}"/>
                </c:ext>
              </c:extLst>
            </c:dLbl>
            <c:dLbl>
              <c:idx val="1"/>
              <c:layout>
                <c:manualLayout>
                  <c:x val="5.5555555555555558E-3"/>
                  <c:y val="-9.25925925925917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9E-4309-A993-485F9A7820A4}"/>
                </c:ext>
              </c:extLst>
            </c:dLbl>
            <c:dLbl>
              <c:idx val="2"/>
              <c:layout>
                <c:manualLayout>
                  <c:x val="-5.0925337632079971E-17"/>
                  <c:y val="-3.24074074074074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9E-4309-A993-485F9A7820A4}"/>
                </c:ext>
              </c:extLst>
            </c:dLbl>
            <c:dLbl>
              <c:idx val="3"/>
              <c:layout>
                <c:manualLayout>
                  <c:x val="4.0699408559264072E-2"/>
                  <c:y val="-4.49690757934297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9E-4309-A993-485F9A7820A4}"/>
                </c:ext>
              </c:extLst>
            </c:dLbl>
            <c:dLbl>
              <c:idx val="4"/>
              <c:layout>
                <c:manualLayout>
                  <c:x val="-1.0185067526415994E-16"/>
                  <c:y val="-2.77777777777777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9E-4309-A993-485F9A7820A4}"/>
                </c:ext>
              </c:extLst>
            </c:dLbl>
            <c:dLbl>
              <c:idx val="5"/>
              <c:layout>
                <c:manualLayout>
                  <c:x val="2.5000000000000001E-2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9E-4309-A993-485F9A7820A4}"/>
                </c:ext>
              </c:extLst>
            </c:dLbl>
            <c:numFmt formatCode="#,##0.0\ &quot;M&quot;&quot;€&quot;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'%charges'!$A$38:$A$43</c:f>
              <c:strCache>
                <c:ptCount val="6"/>
                <c:pt idx="0">
                  <c:v>MALADIE (avec IJ Amexa)</c:v>
                </c:pt>
                <c:pt idx="1">
                  <c:v>Atexa</c:v>
                </c:pt>
                <c:pt idx="2">
                  <c:v>FAMILLE</c:v>
                </c:pt>
                <c:pt idx="3">
                  <c:v>RETRAITE</c:v>
                </c:pt>
                <c:pt idx="4">
                  <c:v>RCO</c:v>
                </c:pt>
                <c:pt idx="5">
                  <c:v>Total DEPENSES</c:v>
                </c:pt>
              </c:strCache>
            </c:strRef>
          </c:cat>
          <c:val>
            <c:numRef>
              <c:f>'%charges'!$C$38:$C$43</c:f>
              <c:numCache>
                <c:formatCode>#\ ##0.0</c:formatCode>
                <c:ptCount val="6"/>
                <c:pt idx="0">
                  <c:v>7179.1982282800018</c:v>
                </c:pt>
                <c:pt idx="1">
                  <c:v>477.64435893999996</c:v>
                </c:pt>
                <c:pt idx="2">
                  <c:v>690.39751589000002</c:v>
                </c:pt>
                <c:pt idx="3">
                  <c:v>7091.91930813</c:v>
                </c:pt>
                <c:pt idx="4">
                  <c:v>1201.4819880700002</c:v>
                </c:pt>
                <c:pt idx="5">
                  <c:v>16640.641399310003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C9E-4309-A993-485F9A782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497600"/>
        <c:axId val="156499560"/>
      </c:barChart>
      <c:catAx>
        <c:axId val="15649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156499560"/>
        <c:crosses val="autoZero"/>
        <c:auto val="1"/>
        <c:lblAlgn val="ctr"/>
        <c:lblOffset val="100"/>
        <c:noMultiLvlLbl val="0"/>
      </c:catAx>
      <c:valAx>
        <c:axId val="156499560"/>
        <c:scaling>
          <c:orientation val="minMax"/>
        </c:scaling>
        <c:delete val="1"/>
        <c:axPos val="l"/>
        <c:numFmt formatCode="#\ ##0.0" sourceLinked="1"/>
        <c:majorTickMark val="out"/>
        <c:minorTickMark val="none"/>
        <c:tickLblPos val="nextTo"/>
        <c:crossAx val="156497600"/>
        <c:crosses val="autoZero"/>
        <c:crossBetween val="between"/>
        <c:majorUnit val="2000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r"/>
      <c:overlay val="0"/>
      <c:txPr>
        <a:bodyPr/>
        <a:lstStyle/>
        <a:p>
          <a:pPr>
            <a:defRPr>
              <a:solidFill>
                <a:schemeClr val="accent1">
                  <a:lumMod val="75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blipFill dpi="0" rotWithShape="1">
      <a:blip xmlns:r="http://schemas.openxmlformats.org/officeDocument/2006/relationships" r:embed="rId1">
        <a:extLst>
          <a:ext uri="{28A0092B-C50C-407E-A947-70E740481C1C}">
            <a14:useLocalDpi xmlns:a14="http://schemas.microsoft.com/office/drawing/2010/main" val="0"/>
          </a:ext>
        </a:extLst>
      </a:blip>
      <a:srcRect/>
      <a:stretch>
        <a:fillRect/>
      </a:stretch>
    </a:blipFill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fr-FR" sz="1100">
                <a:solidFill>
                  <a:schemeClr val="accent1">
                    <a:lumMod val="50000"/>
                  </a:schemeClr>
                </a:solidFill>
              </a:rPr>
              <a:t>Principales contributions à l'évolution des dépenses en 2022</a:t>
            </a:r>
          </a:p>
          <a:p>
            <a:pPr>
              <a:defRPr sz="110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fr-FR" sz="1100" b="0">
                <a:solidFill>
                  <a:schemeClr val="accent1">
                    <a:lumMod val="50000"/>
                  </a:schemeClr>
                </a:solidFill>
              </a:rPr>
              <a:t>(Total :</a:t>
            </a:r>
            <a:r>
              <a:rPr lang="fr-FR" sz="1100" b="0" baseline="0">
                <a:solidFill>
                  <a:schemeClr val="accent1">
                    <a:lumMod val="50000"/>
                  </a:schemeClr>
                </a:solidFill>
              </a:rPr>
              <a:t> + 3,2</a:t>
            </a:r>
            <a:r>
              <a:rPr lang="fr-FR" sz="1100" b="0">
                <a:solidFill>
                  <a:schemeClr val="accent1">
                    <a:lumMod val="50000"/>
                  </a:schemeClr>
                </a:solidFill>
              </a:rPr>
              <a:t> points)</a:t>
            </a:r>
          </a:p>
        </c:rich>
      </c:tx>
      <c:layout>
        <c:manualLayout>
          <c:xMode val="edge"/>
          <c:yMode val="edge"/>
          <c:x val="0.1228477432402089"/>
          <c:y val="1.04872699406767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012294274733983"/>
          <c:y val="0.18812292503172204"/>
          <c:w val="0.8500581537752715"/>
          <c:h val="0.537665236325908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'%charges'!$H$13</c:f>
              <c:strCache>
                <c:ptCount val="1"/>
                <c:pt idx="0">
                  <c:v>Prestations légales (+0,5%)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F81-42E3-A243-FFE26BDEE6C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F81-42E3-A243-FFE26BDEE6C8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3-0F81-42E3-A243-FFE26BDEE6C8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5-0F81-42E3-A243-FFE26BDEE6C8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0F81-42E3-A243-FFE26BDEE6C8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9-0F81-42E3-A243-FFE26BDEE6C8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B-0F81-42E3-A243-FFE26BDEE6C8}"/>
              </c:ext>
            </c:extLst>
          </c:dPt>
          <c:dLbls>
            <c:dLbl>
              <c:idx val="0"/>
              <c:layout>
                <c:manualLayout>
                  <c:x val="0"/>
                  <c:y val="0.1400522799637442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81-42E3-A243-FFE26BDEE6C8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'%charges'!$I$12</c:f>
              <c:strCache>
                <c:ptCount val="1"/>
                <c:pt idx="0">
                  <c:v>Contri croiss</c:v>
                </c:pt>
              </c:strCache>
            </c:strRef>
          </c:cat>
          <c:val>
            <c:numRef>
              <c:f>'%charges'!$I$13</c:f>
              <c:numCache>
                <c:formatCode>\+0.0;\-0.0</c:formatCode>
                <c:ptCount val="1"/>
                <c:pt idx="0">
                  <c:v>0.40107812565690998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F81-42E3-A243-FFE26BDEE6C8}"/>
            </c:ext>
          </c:extLst>
        </c:ser>
        <c:ser>
          <c:idx val="1"/>
          <c:order val="1"/>
          <c:tx>
            <c:strRef>
              <c:f>'%charges'!$H$14</c:f>
              <c:strCache>
                <c:ptCount val="1"/>
                <c:pt idx="0">
                  <c:v>Charges techniques (+28,4%)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E-0F81-42E3-A243-FFE26BDEE6C8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0-0F81-42E3-A243-FFE26BDEE6C8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2-0F81-42E3-A243-FFE26BDEE6C8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4-0F81-42E3-A243-FFE26BDEE6C8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6-0F81-42E3-A243-FFE26BDEE6C8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'%charges'!$I$12</c:f>
              <c:strCache>
                <c:ptCount val="1"/>
                <c:pt idx="0">
                  <c:v>Contri croiss</c:v>
                </c:pt>
              </c:strCache>
            </c:strRef>
          </c:cat>
          <c:val>
            <c:numRef>
              <c:f>'%charges'!$I$14</c:f>
              <c:numCache>
                <c:formatCode>\+0.0;\-0.0</c:formatCode>
                <c:ptCount val="1"/>
                <c:pt idx="0">
                  <c:v>-0.93671446818713711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F81-42E3-A243-FFE26BDEE6C8}"/>
            </c:ext>
          </c:extLst>
        </c:ser>
        <c:ser>
          <c:idx val="4"/>
          <c:order val="2"/>
          <c:tx>
            <c:strRef>
              <c:f>'%charges'!$H$15</c:f>
              <c:strCache>
                <c:ptCount val="1"/>
                <c:pt idx="0">
                  <c:v>Dotations aux provisions (+7,8%)</c:v>
                </c:pt>
              </c:strCache>
            </c:strRef>
          </c:tx>
          <c:spPr>
            <a:pattFill prst="pct50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0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9-0F81-42E3-A243-FFE26BDEE6C8}"/>
              </c:ext>
            </c:extLst>
          </c:dPt>
          <c:dPt>
            <c:idx val="2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B-0F81-42E3-A243-FFE26BDEE6C8}"/>
              </c:ext>
            </c:extLst>
          </c:dPt>
          <c:dPt>
            <c:idx val="3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D-0F81-42E3-A243-FFE26BDEE6C8}"/>
              </c:ext>
            </c:extLst>
          </c:dPt>
          <c:dPt>
            <c:idx val="4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F-0F81-42E3-A243-FFE26BDEE6C8}"/>
              </c:ext>
            </c:extLst>
          </c:dPt>
          <c:dPt>
            <c:idx val="5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1-0F81-42E3-A243-FFE26BDEE6C8}"/>
              </c:ext>
            </c:extLst>
          </c:dPt>
          <c:dPt>
            <c:idx val="6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3-0F81-42E3-A243-FFE26BDEE6C8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'%charges'!$I$12</c:f>
              <c:strCache>
                <c:ptCount val="1"/>
                <c:pt idx="0">
                  <c:v>Contri croiss</c:v>
                </c:pt>
              </c:strCache>
            </c:strRef>
          </c:cat>
          <c:val>
            <c:numRef>
              <c:f>'%charges'!$I$15</c:f>
              <c:numCache>
                <c:formatCode>\+0.0;\-0.0</c:formatCode>
                <c:ptCount val="1"/>
                <c:pt idx="0">
                  <c:v>0.47994544935528061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0F81-42E3-A243-FFE26BDEE6C8}"/>
            </c:ext>
          </c:extLst>
        </c:ser>
        <c:ser>
          <c:idx val="3"/>
          <c:order val="3"/>
          <c:tx>
            <c:strRef>
              <c:f>'%charges'!$H$17</c:f>
              <c:strCache>
                <c:ptCount val="1"/>
                <c:pt idx="0">
                  <c:v>Prestations extra-légales (+8,4%)</c:v>
                </c:pt>
              </c:strCache>
              <c:extLst xmlns:c15="http://schemas.microsoft.com/office/drawing/2012/chart"/>
            </c:strRef>
          </c:tx>
          <c:spPr>
            <a:pattFill prst="dkVert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6-0F81-42E3-A243-FFE26BDEE6C8}"/>
              </c:ext>
            </c:extLst>
          </c:dPt>
          <c:dPt>
            <c:idx val="3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8-0F81-42E3-A243-FFE26BDEE6C8}"/>
              </c:ext>
            </c:extLst>
          </c:dPt>
          <c:dPt>
            <c:idx val="4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A-0F81-42E3-A243-FFE26BDEE6C8}"/>
              </c:ext>
            </c:extLst>
          </c:dPt>
          <c:dPt>
            <c:idx val="5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C-0F81-42E3-A243-FFE26BDEE6C8}"/>
              </c:ext>
            </c:extLst>
          </c:dPt>
          <c:dPt>
            <c:idx val="6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E-0F81-42E3-A243-FFE26BDEE6C8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'%charges'!$I$12</c:f>
              <c:strCache>
                <c:ptCount val="1"/>
                <c:pt idx="0">
                  <c:v>Contri croiss</c:v>
                </c:pt>
              </c:strCache>
              <c:extLst xmlns:c15="http://schemas.microsoft.com/office/drawing/2012/chart"/>
            </c:strRef>
          </c:cat>
          <c:val>
            <c:numRef>
              <c:f>'%charges'!$I$17</c:f>
              <c:numCache>
                <c:formatCode>\+0.0;\-0.0</c:formatCode>
                <c:ptCount val="1"/>
                <c:pt idx="0">
                  <c:v>0.12427896803116348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2F-0F81-42E3-A243-FFE26BDEE6C8}"/>
            </c:ext>
          </c:extLst>
        </c:ser>
        <c:ser>
          <c:idx val="2"/>
          <c:order val="4"/>
          <c:tx>
            <c:strRef>
              <c:f>'%charges'!$H$19</c:f>
              <c:strCache>
                <c:ptCount val="1"/>
                <c:pt idx="0">
                  <c:v>Charges financières (+19,4%)</c:v>
                </c:pt>
              </c:strCache>
              <c:extLst xmlns:c15="http://schemas.microsoft.com/office/drawing/2012/chart"/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1-0F81-42E3-A243-FFE26BDEE6C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3-0F81-42E3-A243-FFE26BDEE6C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5-0F81-42E3-A243-FFE26BDEE6C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7-0F81-42E3-A243-FFE26BDEE6C8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9-0F81-42E3-A243-FFE26BDEE6C8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'%charges'!$I$12</c:f>
              <c:strCache>
                <c:ptCount val="1"/>
                <c:pt idx="0">
                  <c:v>Contri croiss</c:v>
                </c:pt>
              </c:strCache>
              <c:extLst xmlns:c15="http://schemas.microsoft.com/office/drawing/2012/chart"/>
            </c:strRef>
          </c:cat>
          <c:val>
            <c:numRef>
              <c:f>'%charges'!$I$19</c:f>
              <c:numCache>
                <c:formatCode>\+0.0;\-0.0</c:formatCode>
                <c:ptCount val="1"/>
                <c:pt idx="0">
                  <c:v>9.3077533370779179E-3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3A-0F81-42E3-A243-FFE26BDEE6C8}"/>
            </c:ext>
          </c:extLst>
        </c:ser>
        <c:ser>
          <c:idx val="6"/>
          <c:order val="5"/>
          <c:tx>
            <c:strRef>
              <c:f>'%charges'!$H$16</c:f>
              <c:strCache>
                <c:ptCount val="1"/>
                <c:pt idx="0">
                  <c:v>Gestion (-6,0%)</c:v>
                </c:pt>
              </c:strCache>
              <c:extLst xmlns:c15="http://schemas.microsoft.com/office/drawing/2012/chart"/>
            </c:strRef>
          </c:tx>
          <c:spPr>
            <a:pattFill prst="pct40">
              <a:fgClr>
                <a:schemeClr val="tx2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'%charges'!$I$12</c:f>
              <c:strCache>
                <c:ptCount val="1"/>
                <c:pt idx="0">
                  <c:v>Contri croiss</c:v>
                </c:pt>
              </c:strCache>
              <c:extLst xmlns:c15="http://schemas.microsoft.com/office/drawing/2012/chart"/>
            </c:strRef>
          </c:cat>
          <c:val>
            <c:numRef>
              <c:f>'%charges'!$I$16</c:f>
              <c:numCache>
                <c:formatCode>\+0.0;\-0.0</c:formatCode>
                <c:ptCount val="1"/>
                <c:pt idx="0">
                  <c:v>-0.19109456008874667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3B-0F81-42E3-A243-FFE26BDEE6C8}"/>
            </c:ext>
          </c:extLst>
        </c:ser>
        <c:ser>
          <c:idx val="5"/>
          <c:order val="6"/>
          <c:tx>
            <c:strRef>
              <c:f>'%charges'!$H$18</c:f>
              <c:strCache>
                <c:ptCount val="1"/>
                <c:pt idx="0">
                  <c:v>Autres charges (+6,8%)</c:v>
                </c:pt>
              </c:strCache>
              <c:extLst xmlns:c15="http://schemas.microsoft.com/office/drawing/2012/chart"/>
            </c:strRef>
          </c:tx>
          <c:spPr>
            <a:pattFill prst="ltVert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'%charges'!$I$18</c:f>
              <c:numCache>
                <c:formatCode>\+0.0;\-0.0</c:formatCode>
                <c:ptCount val="1"/>
                <c:pt idx="0">
                  <c:v>4.0618675629041029E-3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3C-0F81-42E3-A243-FFE26BDEE6C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6493336"/>
        <c:axId val="436490984"/>
        <c:extLst/>
      </c:barChart>
      <c:catAx>
        <c:axId val="436493336"/>
        <c:scaling>
          <c:orientation val="minMax"/>
        </c:scaling>
        <c:delete val="1"/>
        <c:axPos val="b"/>
        <c:majorGridlines/>
        <c:numFmt formatCode="General" sourceLinked="1"/>
        <c:majorTickMark val="out"/>
        <c:minorTickMark val="none"/>
        <c:tickLblPos val="high"/>
        <c:crossAx val="436490984"/>
        <c:crosses val="autoZero"/>
        <c:auto val="1"/>
        <c:lblAlgn val="ctr"/>
        <c:lblOffset val="100"/>
        <c:noMultiLvlLbl val="0"/>
      </c:catAx>
      <c:valAx>
        <c:axId val="436490984"/>
        <c:scaling>
          <c:orientation val="minMax"/>
          <c:max val="3"/>
          <c:min val="-2"/>
        </c:scaling>
        <c:delete val="0"/>
        <c:axPos val="l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i="1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r>
                  <a:rPr lang="fr-FR" sz="800" i="1">
                    <a:solidFill>
                      <a:schemeClr val="accent1">
                        <a:lumMod val="50000"/>
                      </a:schemeClr>
                    </a:solidFill>
                  </a:rPr>
                  <a:t>Contribution à l'évolution (en points)</a:t>
                </a:r>
              </a:p>
            </c:rich>
          </c:tx>
          <c:layout>
            <c:manualLayout>
              <c:xMode val="edge"/>
              <c:yMode val="edge"/>
              <c:x val="3.0120056982406E-2"/>
              <c:y val="0.185237524117432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3649333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1.5496099636760068E-2"/>
          <c:y val="0.7643541742712624"/>
          <c:w val="0.96932349424908271"/>
          <c:h val="0.2348170551528741"/>
        </c:manualLayout>
      </c:layout>
      <c:overlay val="0"/>
      <c:txPr>
        <a:bodyPr/>
        <a:lstStyle/>
        <a:p>
          <a:pPr>
            <a:defRPr sz="1000">
              <a:solidFill>
                <a:schemeClr val="accent1">
                  <a:lumMod val="50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fr-FR" sz="1050">
                <a:solidFill>
                  <a:schemeClr val="accent1">
                    <a:lumMod val="50000"/>
                  </a:schemeClr>
                </a:solidFill>
              </a:rPr>
              <a:t>Contributions à l'évolution des dépenses selon la branche en 2022</a:t>
            </a:r>
          </a:p>
          <a:p>
            <a:pPr>
              <a:defRPr sz="105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fr-FR" sz="1050" b="0">
                <a:solidFill>
                  <a:schemeClr val="accent1">
                    <a:lumMod val="50000"/>
                  </a:schemeClr>
                </a:solidFill>
              </a:rPr>
              <a:t>(Total : + 3,2 points)</a:t>
            </a:r>
          </a:p>
        </c:rich>
      </c:tx>
      <c:layout>
        <c:manualLayout>
          <c:xMode val="edge"/>
          <c:yMode val="edge"/>
          <c:x val="0.14531448629162319"/>
          <c:y val="1.615987845735509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'%charges'!$A$38</c:f>
              <c:strCache>
                <c:ptCount val="1"/>
                <c:pt idx="0">
                  <c:v>MALADIE (avec IJ Amexa)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E08-4DB5-B786-139D868C93C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E08-4DB5-B786-139D868C93CC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3-DE08-4DB5-B786-139D868C93CC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5-DE08-4DB5-B786-139D868C93CC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DE08-4DB5-B786-139D868C93CC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9-DE08-4DB5-B786-139D868C93CC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B-DE08-4DB5-B786-139D868C93CC}"/>
              </c:ext>
            </c:extLst>
          </c:dPt>
          <c:dLbls>
            <c:dLbl>
              <c:idx val="0"/>
              <c:layout>
                <c:manualLayout>
                  <c:x val="0"/>
                  <c:y val="-5.38662615245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08-4DB5-B786-139D868C93CC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'%charges'!$I$12</c:f>
              <c:strCache>
                <c:ptCount val="1"/>
                <c:pt idx="0">
                  <c:v>Contri croiss</c:v>
                </c:pt>
              </c:strCache>
            </c:strRef>
          </c:cat>
          <c:val>
            <c:numRef>
              <c:f>'%charges'!$F$38</c:f>
              <c:numCache>
                <c:formatCode>\+0.00;\-0.00</c:formatCode>
                <c:ptCount val="1"/>
                <c:pt idx="0">
                  <c:v>-0.74726413129021663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E08-4DB5-B786-139D868C93CC}"/>
            </c:ext>
          </c:extLst>
        </c:ser>
        <c:ser>
          <c:idx val="1"/>
          <c:order val="1"/>
          <c:tx>
            <c:strRef>
              <c:f>'%charges'!$A$39</c:f>
              <c:strCache>
                <c:ptCount val="1"/>
                <c:pt idx="0">
                  <c:v>Atexa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E-DE08-4DB5-B786-139D868C93C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0-DE08-4DB5-B786-139D868C93C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2-DE08-4DB5-B786-139D868C93C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4-DE08-4DB5-B786-139D868C93C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6-DE08-4DB5-B786-139D868C93CC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'%charges'!$I$12</c:f>
              <c:strCache>
                <c:ptCount val="1"/>
                <c:pt idx="0">
                  <c:v>Contri croiss</c:v>
                </c:pt>
              </c:strCache>
            </c:strRef>
          </c:cat>
          <c:val>
            <c:numRef>
              <c:f>'%charges'!$F$39</c:f>
              <c:numCache>
                <c:formatCode>\+0.00;\-0.00</c:formatCode>
                <c:ptCount val="1"/>
                <c:pt idx="0">
                  <c:v>0.3319697978778865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E08-4DB5-B786-139D868C93CC}"/>
            </c:ext>
          </c:extLst>
        </c:ser>
        <c:ser>
          <c:idx val="4"/>
          <c:order val="2"/>
          <c:tx>
            <c:strRef>
              <c:f>'%charges'!$A$40</c:f>
              <c:strCache>
                <c:ptCount val="1"/>
                <c:pt idx="0">
                  <c:v>FAMILLE</c:v>
                </c:pt>
              </c:strCache>
            </c:strRef>
          </c:tx>
          <c:spPr>
            <a:pattFill prst="pct75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0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9-DE08-4DB5-B786-139D868C93CC}"/>
              </c:ext>
            </c:extLst>
          </c:dPt>
          <c:dPt>
            <c:idx val="2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B-DE08-4DB5-B786-139D868C93CC}"/>
              </c:ext>
            </c:extLst>
          </c:dPt>
          <c:dPt>
            <c:idx val="3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D-DE08-4DB5-B786-139D868C93CC}"/>
              </c:ext>
            </c:extLst>
          </c:dPt>
          <c:dPt>
            <c:idx val="4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F-DE08-4DB5-B786-139D868C93CC}"/>
              </c:ext>
            </c:extLst>
          </c:dPt>
          <c:dPt>
            <c:idx val="5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1-DE08-4DB5-B786-139D868C93CC}"/>
              </c:ext>
            </c:extLst>
          </c:dPt>
          <c:dPt>
            <c:idx val="6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3-DE08-4DB5-B786-139D868C93CC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'%charges'!$I$12</c:f>
              <c:strCache>
                <c:ptCount val="1"/>
                <c:pt idx="0">
                  <c:v>Contri croiss</c:v>
                </c:pt>
              </c:strCache>
            </c:strRef>
          </c:cat>
          <c:val>
            <c:numRef>
              <c:f>'%charges'!$F$40</c:f>
              <c:numCache>
                <c:formatCode>\+0.00;\-0.00</c:formatCode>
                <c:ptCount val="1"/>
                <c:pt idx="0">
                  <c:v>0.17968854282053606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DE08-4DB5-B786-139D868C93CC}"/>
            </c:ext>
          </c:extLst>
        </c:ser>
        <c:ser>
          <c:idx val="3"/>
          <c:order val="3"/>
          <c:tx>
            <c:strRef>
              <c:f>'%charges'!$A$41</c:f>
              <c:strCache>
                <c:ptCount val="1"/>
                <c:pt idx="0">
                  <c:v>RETRAITE</c:v>
                </c:pt>
              </c:strCache>
            </c:strRef>
          </c:tx>
          <c:spPr>
            <a:pattFill prst="dkVert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6-DE08-4DB5-B786-139D868C93CC}"/>
              </c:ext>
            </c:extLst>
          </c:dPt>
          <c:dPt>
            <c:idx val="3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8-DE08-4DB5-B786-139D868C93CC}"/>
              </c:ext>
            </c:extLst>
          </c:dPt>
          <c:dPt>
            <c:idx val="4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A-DE08-4DB5-B786-139D868C93CC}"/>
              </c:ext>
            </c:extLst>
          </c:dPt>
          <c:dPt>
            <c:idx val="5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C-DE08-4DB5-B786-139D868C93CC}"/>
              </c:ext>
            </c:extLst>
          </c:dPt>
          <c:dPt>
            <c:idx val="6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E-DE08-4DB5-B786-139D868C93CC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'%charges'!$I$12</c:f>
              <c:strCache>
                <c:ptCount val="1"/>
                <c:pt idx="0">
                  <c:v>Contri croiss</c:v>
                </c:pt>
              </c:strCache>
            </c:strRef>
          </c:cat>
          <c:val>
            <c:numRef>
              <c:f>'%charges'!$F$41</c:f>
              <c:numCache>
                <c:formatCode>\+0.00;\-0.00</c:formatCode>
                <c:ptCount val="1"/>
                <c:pt idx="0">
                  <c:v>-4.6206710139293422E-2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DE08-4DB5-B786-139D868C93CC}"/>
            </c:ext>
          </c:extLst>
        </c:ser>
        <c:ser>
          <c:idx val="2"/>
          <c:order val="4"/>
          <c:tx>
            <c:strRef>
              <c:f>'%charges'!$A$42</c:f>
              <c:strCache>
                <c:ptCount val="1"/>
                <c:pt idx="0">
                  <c:v>RCO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1-DE08-4DB5-B786-139D868C93C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3-DE08-4DB5-B786-139D868C93C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5-DE08-4DB5-B786-139D868C93C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7-DE08-4DB5-B786-139D868C93C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9-DE08-4DB5-B786-139D868C93CC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'%charges'!$I$12</c:f>
              <c:strCache>
                <c:ptCount val="1"/>
                <c:pt idx="0">
                  <c:v>Contri croiss</c:v>
                </c:pt>
              </c:strCache>
              <c:extLst xmlns:c15="http://schemas.microsoft.com/office/drawing/2012/chart"/>
            </c:strRef>
          </c:cat>
          <c:val>
            <c:numRef>
              <c:f>'%charges'!$F$42</c:f>
              <c:numCache>
                <c:formatCode>\+0.00;\-0.00</c:formatCode>
                <c:ptCount val="1"/>
                <c:pt idx="0">
                  <c:v>0.17267563639854822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DE08-4DB5-B786-139D868C93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6492160"/>
        <c:axId val="436491376"/>
        <c:extLst/>
      </c:barChart>
      <c:catAx>
        <c:axId val="436492160"/>
        <c:scaling>
          <c:orientation val="minMax"/>
        </c:scaling>
        <c:delete val="1"/>
        <c:axPos val="b"/>
        <c:majorGridlines/>
        <c:numFmt formatCode="General" sourceLinked="1"/>
        <c:majorTickMark val="out"/>
        <c:minorTickMark val="none"/>
        <c:tickLblPos val="high"/>
        <c:crossAx val="436491376"/>
        <c:crosses val="autoZero"/>
        <c:auto val="1"/>
        <c:lblAlgn val="ctr"/>
        <c:lblOffset val="100"/>
        <c:noMultiLvlLbl val="0"/>
      </c:catAx>
      <c:valAx>
        <c:axId val="436491376"/>
        <c:scaling>
          <c:orientation val="minMax"/>
          <c:max val="3"/>
          <c:min val="-1"/>
        </c:scaling>
        <c:delete val="0"/>
        <c:axPos val="l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i="1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r>
                  <a:rPr lang="fr-FR" sz="800" i="1">
                    <a:solidFill>
                      <a:schemeClr val="accent1">
                        <a:lumMod val="50000"/>
                      </a:schemeClr>
                    </a:solidFill>
                  </a:rPr>
                  <a:t>Contribution à l'évolution (en points)</a:t>
                </a:r>
              </a:p>
            </c:rich>
          </c:tx>
          <c:layout>
            <c:manualLayout>
              <c:xMode val="edge"/>
              <c:yMode val="edge"/>
              <c:x val="3.3078860828721975E-2"/>
              <c:y val="0.20526577790919698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36492160"/>
        <c:crosses val="autoZero"/>
        <c:crossBetween val="between"/>
        <c:majorUnit val="1"/>
      </c:valAx>
    </c:plotArea>
    <c:legend>
      <c:legendPos val="b"/>
      <c:overlay val="0"/>
      <c:txPr>
        <a:bodyPr/>
        <a:lstStyle/>
        <a:p>
          <a:pPr>
            <a:defRPr sz="1000">
              <a:solidFill>
                <a:schemeClr val="accent1">
                  <a:lumMod val="50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854522961699847E-2"/>
          <c:y val="0.16480169568528216"/>
          <c:w val="0.82829095407660025"/>
          <c:h val="0.7999788415251716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4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588-446D-8D48-9BA362ED4EF5}"/>
              </c:ext>
            </c:extLst>
          </c:dPt>
          <c:dPt>
            <c:idx val="1"/>
            <c:bubble3D val="0"/>
            <c:spPr>
              <a:solidFill>
                <a:schemeClr val="accent5">
                  <a:shade val="6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588-446D-8D48-9BA362ED4EF5}"/>
              </c:ext>
            </c:extLst>
          </c:dPt>
          <c:dPt>
            <c:idx val="2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588-446D-8D48-9BA362ED4EF5}"/>
              </c:ext>
            </c:extLst>
          </c:dPt>
          <c:dPt>
            <c:idx val="3"/>
            <c:bubble3D val="0"/>
            <c:spPr>
              <a:solidFill>
                <a:schemeClr val="accent5">
                  <a:shade val="9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588-446D-8D48-9BA362ED4EF5}"/>
              </c:ext>
            </c:extLst>
          </c:dPt>
          <c:dPt>
            <c:idx val="4"/>
            <c:bubble3D val="0"/>
            <c:spPr>
              <a:solidFill>
                <a:schemeClr val="accent5">
                  <a:tint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588-446D-8D48-9BA362ED4EF5}"/>
              </c:ext>
            </c:extLst>
          </c:dPt>
          <c:dPt>
            <c:idx val="5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588-446D-8D48-9BA362ED4EF5}"/>
              </c:ext>
            </c:extLst>
          </c:dPt>
          <c:dPt>
            <c:idx val="6"/>
            <c:bubble3D val="0"/>
            <c:spPr>
              <a:solidFill>
                <a:schemeClr val="accent5">
                  <a:tint val="6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588-446D-8D48-9BA362ED4EF5}"/>
              </c:ext>
            </c:extLst>
          </c:dPt>
          <c:dPt>
            <c:idx val="7"/>
            <c:bubble3D val="0"/>
            <c:spPr>
              <a:solidFill>
                <a:schemeClr val="accent5">
                  <a:tint val="4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588-446D-8D48-9BA362ED4EF5}"/>
              </c:ext>
            </c:extLst>
          </c:dPt>
          <c:dLbls>
            <c:dLbl>
              <c:idx val="0"/>
              <c:layout>
                <c:manualLayout>
                  <c:x val="9.0392363374960298E-4"/>
                  <c:y val="4.2638551918801624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1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100" b="1">
                        <a:solidFill>
                          <a:schemeClr val="bg1"/>
                        </a:solidFill>
                      </a:rPr>
                      <a:t>Impôts et taxes affectés
28,1%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588-446D-8D48-9BA362ED4EF5}"/>
                </c:ext>
              </c:extLst>
            </c:dLbl>
            <c:dLbl>
              <c:idx val="1"/>
              <c:layout>
                <c:manualLayout>
                  <c:x val="0.19291288429710618"/>
                  <c:y val="-8.045091450757961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100" b="1" i="0" u="none" strike="noStrike" kern="1200" baseline="0">
                        <a:solidFill>
                          <a:schemeClr val="accent5">
                            <a:lumMod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264741A-D652-413C-85B9-85790DEFE5F1}" type="CATEGORYNAME">
                      <a:rPr lang="en-US" b="1"/>
                      <a:pPr>
                        <a:defRPr sz="1100" b="1">
                          <a:solidFill>
                            <a:schemeClr val="accent5">
                              <a:lumMod val="50000"/>
                            </a:schemeClr>
                          </a:solidFill>
                        </a:defRPr>
                      </a:pPr>
                      <a:t>[NOM DE CATÉGORIE]</a:t>
                    </a:fld>
                    <a:r>
                      <a:rPr lang="en-US" b="1" baseline="0"/>
                      <a:t>
26,1 %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accent5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969206078539542"/>
                      <c:h val="0.187582647089780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588-446D-8D48-9BA362ED4EF5}"/>
                </c:ext>
              </c:extLst>
            </c:dLbl>
            <c:dLbl>
              <c:idx val="2"/>
              <c:layout>
                <c:manualLayout>
                  <c:x val="3.6892522192687699E-3"/>
                  <c:y val="5.0855843172622423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1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BCDA41C-423C-4AB4-ABFC-268F88809534}" type="CATEGORYNAME">
                      <a:rPr lang="en-US" b="1"/>
                      <a:pPr>
                        <a:defRPr sz="1100" b="1">
                          <a:solidFill>
                            <a:schemeClr val="bg1"/>
                          </a:solidFill>
                        </a:defRPr>
                      </a:pPr>
                      <a:t>[NOM DE CATÉGORIE]</a:t>
                    </a:fld>
                    <a:r>
                      <a:rPr lang="en-US" b="1" baseline="0"/>
                      <a:t>
15,5 %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588-446D-8D48-9BA362ED4EF5}"/>
                </c:ext>
              </c:extLst>
            </c:dLbl>
            <c:dLbl>
              <c:idx val="3"/>
              <c:layout>
                <c:manualLayout>
                  <c:x val="-0.20925188491565944"/>
                  <c:y val="6.0505550411585847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100" b="1" i="0" u="none" strike="noStrike" kern="1200" baseline="0">
                        <a:solidFill>
                          <a:schemeClr val="accent5">
                            <a:lumMod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91A22DD-1E50-4968-9F27-BCAFA5C15D9F}" type="CATEGORYNAME">
                      <a:rPr lang="en-US" b="1"/>
                      <a:pPr>
                        <a:defRPr sz="1100" b="1">
                          <a:solidFill>
                            <a:schemeClr val="accent5">
                              <a:lumMod val="50000"/>
                            </a:schemeClr>
                          </a:solidFill>
                        </a:defRPr>
                      </a:pPr>
                      <a:t>[NOM DE CATÉGORIE]</a:t>
                    </a:fld>
                    <a:r>
                      <a:rPr lang="en-US" b="1" baseline="0"/>
                      <a:t>
17,6 %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accent5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400220673052811"/>
                      <c:h val="0.1366920754430685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9588-446D-8D48-9BA362ED4EF5}"/>
                </c:ext>
              </c:extLst>
            </c:dLbl>
            <c:dLbl>
              <c:idx val="4"/>
              <c:layout>
                <c:manualLayout>
                  <c:x val="-0.20082710600665363"/>
                  <c:y val="0.1284244279018178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100" b="1" i="0" u="none" strike="noStrike" kern="1200" baseline="0">
                        <a:solidFill>
                          <a:schemeClr val="accent5">
                            <a:lumMod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>
                        <a:solidFill>
                          <a:schemeClr val="accent5">
                            <a:lumMod val="50000"/>
                          </a:schemeClr>
                        </a:solidFill>
                      </a:rPr>
                      <a:t>Autres produits**
9,2 %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accent5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407356380367104"/>
                      <c:h val="0.17166085288372807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9-9588-446D-8D48-9BA362ED4EF5}"/>
                </c:ext>
              </c:extLst>
            </c:dLbl>
            <c:dLbl>
              <c:idx val="5"/>
              <c:layout>
                <c:manualLayout>
                  <c:x val="-0.21768544059381112"/>
                  <c:y val="1.5187296003607492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100" b="1" i="0" u="none" strike="noStrike" kern="1200" baseline="0">
                        <a:solidFill>
                          <a:schemeClr val="accent5">
                            <a:lumMod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524ED59-1E6F-4660-B5EB-437389D5C810}" type="CATEGORYNAME">
                      <a:rPr lang="en-US" b="1"/>
                      <a:pPr>
                        <a:defRPr sz="1100" b="1">
                          <a:solidFill>
                            <a:schemeClr val="accent5">
                              <a:lumMod val="50000"/>
                            </a:schemeClr>
                          </a:solidFill>
                        </a:defRPr>
                      </a:pPr>
                      <a:t>[NOM DE CATÉGORIE]</a:t>
                    </a:fld>
                    <a:r>
                      <a:rPr lang="en-US" b="1" baseline="0"/>
                      <a:t>
0,3 %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accent5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321664409783174"/>
                      <c:h val="0.1604410088782008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9588-446D-8D48-9BA362ED4EF5}"/>
                </c:ext>
              </c:extLst>
            </c:dLbl>
            <c:dLbl>
              <c:idx val="6"/>
              <c:layout>
                <c:manualLayout>
                  <c:x val="-0.22309978768577496"/>
                  <c:y val="-0.1453261083859648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100" b="1" i="0" u="none" strike="noStrike" kern="1200" baseline="0">
                        <a:solidFill>
                          <a:schemeClr val="accent5">
                            <a:lumMod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AB486B6-7F99-42BD-ADFE-E3D414DB7B17}" type="CATEGORYNAME">
                      <a:rPr lang="en-US" b="1">
                        <a:solidFill>
                          <a:schemeClr val="accent5">
                            <a:lumMod val="50000"/>
                          </a:schemeClr>
                        </a:solidFill>
                      </a:rPr>
                      <a:pPr>
                        <a:defRPr sz="1100" b="1">
                          <a:solidFill>
                            <a:schemeClr val="accent5">
                              <a:lumMod val="50000"/>
                            </a:schemeClr>
                          </a:solidFill>
                        </a:defRPr>
                      </a:pPr>
                      <a:t>[NOM DE CATÉGORIE]</a:t>
                    </a:fld>
                    <a:r>
                      <a:rPr lang="en-US" b="1" baseline="0">
                        <a:solidFill>
                          <a:schemeClr val="accent5">
                            <a:lumMod val="50000"/>
                          </a:schemeClr>
                        </a:solidFill>
                      </a:rPr>
                      <a:t>
3,0 %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accent5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215490579601117"/>
                      <c:h val="0.2011534661955704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9588-446D-8D48-9BA362ED4EF5}"/>
                </c:ext>
              </c:extLst>
            </c:dLbl>
            <c:dLbl>
              <c:idx val="7"/>
              <c:layout>
                <c:manualLayout>
                  <c:x val="-4.6396509353528667E-3"/>
                  <c:y val="-0.2619526057842677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100" b="1" i="0" u="none" strike="noStrike" kern="1200" baseline="0">
                        <a:solidFill>
                          <a:schemeClr val="accent5">
                            <a:lumMod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80B045B-1C0F-4F14-ACC1-C5D4C84B9EC9}" type="CATEGORYNAME">
                      <a:rPr lang="en-US" b="1">
                        <a:solidFill>
                          <a:schemeClr val="accent5">
                            <a:lumMod val="50000"/>
                          </a:schemeClr>
                        </a:solidFill>
                      </a:rPr>
                      <a:pPr>
                        <a:defRPr sz="1100" b="1">
                          <a:solidFill>
                            <a:schemeClr val="accent5">
                              <a:lumMod val="50000"/>
                            </a:schemeClr>
                          </a:solidFill>
                        </a:defRPr>
                      </a:pPr>
                      <a:t>[NOM DE CATÉGORIE]</a:t>
                    </a:fld>
                    <a:r>
                      <a:rPr lang="en-US" b="1" baseline="0">
                        <a:solidFill>
                          <a:schemeClr val="accent5">
                            <a:lumMod val="50000"/>
                          </a:schemeClr>
                        </a:solidFill>
                      </a:rPr>
                      <a:t>
0,2 %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accent5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255847000016717"/>
                      <c:h val="0.1551144623791783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9588-446D-8D48-9BA362ED4E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accen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'%produits'!$A$2:$A$9</c:f>
              <c:strCache>
                <c:ptCount val="8"/>
                <c:pt idx="0">
                  <c:v>ITAF</c:v>
                </c:pt>
                <c:pt idx="1">
                  <c:v>Contributions du Régime général</c:v>
                </c:pt>
                <c:pt idx="2">
                  <c:v>Compensation démographique</c:v>
                </c:pt>
                <c:pt idx="3">
                  <c:v>Cotisations sociales</c:v>
                </c:pt>
                <c:pt idx="4">
                  <c:v>Autres produits**</c:v>
                </c:pt>
                <c:pt idx="5">
                  <c:v>Prise en charge de prestations*</c:v>
                </c:pt>
                <c:pt idx="6">
                  <c:v>Contribution sociale généralisée</c:v>
                </c:pt>
                <c:pt idx="7">
                  <c:v>Cotisations prises en charge par l'Etat</c:v>
                </c:pt>
              </c:strCache>
            </c:strRef>
          </c:cat>
          <c:val>
            <c:numRef>
              <c:f>'%produits'!$D$2:$D$9</c:f>
              <c:numCache>
                <c:formatCode>0.0%</c:formatCode>
                <c:ptCount val="8"/>
                <c:pt idx="0">
                  <c:v>0.28084465649677581</c:v>
                </c:pt>
                <c:pt idx="1">
                  <c:v>0.26131197846502507</c:v>
                </c:pt>
                <c:pt idx="2">
                  <c:v>0.15511759286578156</c:v>
                </c:pt>
                <c:pt idx="3">
                  <c:v>0.17585104955984732</c:v>
                </c:pt>
                <c:pt idx="4">
                  <c:v>9.1771686517048021E-2</c:v>
                </c:pt>
                <c:pt idx="5">
                  <c:v>2.9980207087082584E-3</c:v>
                </c:pt>
                <c:pt idx="6">
                  <c:v>3.0290361386433332E-2</c:v>
                </c:pt>
                <c:pt idx="7">
                  <c:v>1.8146540003807256E-3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588-446D-8D48-9BA362ED4E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319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'%charges'!$B$37</c:f>
              <c:strCache>
                <c:ptCount val="1"/>
                <c:pt idx="0">
                  <c:v>2022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60000"/>
                    <a:lumOff val="40000"/>
                    <a:shade val="30000"/>
                    <a:satMod val="115000"/>
                  </a:schemeClr>
                </a:gs>
                <a:gs pos="50000">
                  <a:schemeClr val="accent5">
                    <a:lumMod val="60000"/>
                    <a:lumOff val="40000"/>
                    <a:shade val="67500"/>
                    <a:satMod val="115000"/>
                  </a:schemeClr>
                </a:gs>
                <a:gs pos="100000">
                  <a:schemeClr val="accent5">
                    <a:lumMod val="60000"/>
                    <a:lumOff val="40000"/>
                    <a:shade val="100000"/>
                    <a:satMod val="115000"/>
                  </a:schemeClr>
                </a:gs>
              </a:gsLst>
              <a:lin ang="18900000" scaled="1"/>
              <a:tileRect/>
            </a:gradFill>
          </c:spPr>
          <c:invertIfNegative val="0"/>
          <c:cat>
            <c:strRef>
              <c:f>'%produits'!$A$41:$A$46</c:f>
              <c:strCache>
                <c:ptCount val="6"/>
                <c:pt idx="0">
                  <c:v>MALADIE (avec IJ Amexa)</c:v>
                </c:pt>
                <c:pt idx="1">
                  <c:v>Atexa</c:v>
                </c:pt>
                <c:pt idx="2">
                  <c:v>FAMILLE</c:v>
                </c:pt>
                <c:pt idx="3">
                  <c:v>RETRAITE</c:v>
                </c:pt>
                <c:pt idx="4">
                  <c:v>RCO</c:v>
                </c:pt>
                <c:pt idx="5">
                  <c:v>Total RECETTES</c:v>
                </c:pt>
              </c:strCache>
            </c:strRef>
          </c:cat>
          <c:val>
            <c:numRef>
              <c:f>'%produitsRetraite'!$B$37:$B$42</c:f>
              <c:numCache>
                <c:formatCode>#\ ##0.0</c:formatCode>
                <c:ptCount val="6"/>
                <c:pt idx="0">
                  <c:v>7293.3621882400003</c:v>
                </c:pt>
                <c:pt idx="1">
                  <c:v>437.87688075999995</c:v>
                </c:pt>
                <c:pt idx="2">
                  <c:v>660.46059379999997</c:v>
                </c:pt>
                <c:pt idx="3">
                  <c:v>7204.5720267200004</c:v>
                </c:pt>
                <c:pt idx="4">
                  <c:v>1246.9734998900001</c:v>
                </c:pt>
                <c:pt idx="5">
                  <c:v>16843.245189409998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35-43CE-B812-43BC1AAEF52F}"/>
            </c:ext>
          </c:extLst>
        </c:ser>
        <c:ser>
          <c:idx val="1"/>
          <c:order val="1"/>
          <c:tx>
            <c:strRef>
              <c:f>'%charges'!$C$37</c:f>
              <c:strCache>
                <c:ptCount val="1"/>
                <c:pt idx="0">
                  <c:v>2023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75000"/>
                    <a:shade val="30000"/>
                    <a:satMod val="115000"/>
                  </a:schemeClr>
                </a:gs>
                <a:gs pos="50000">
                  <a:schemeClr val="accent5">
                    <a:lumMod val="75000"/>
                    <a:shade val="67500"/>
                    <a:satMod val="115000"/>
                  </a:schemeClr>
                </a:gs>
                <a:gs pos="100000">
                  <a:schemeClr val="accent5">
                    <a:lumMod val="75000"/>
                    <a:shade val="100000"/>
                    <a:satMod val="115000"/>
                  </a:schemeClr>
                </a:gs>
              </a:gsLst>
              <a:lin ang="18900000" scaled="1"/>
              <a:tileRect/>
            </a:gra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3888888888888888E-2"/>
                  <c:y val="-2.31481481481481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35-43CE-B812-43BC1AAEF52F}"/>
                </c:ext>
              </c:extLst>
            </c:dLbl>
            <c:dLbl>
              <c:idx val="1"/>
              <c:layout>
                <c:manualLayout>
                  <c:x val="5.5555555555555558E-3"/>
                  <c:y val="-9.25925925925917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35-43CE-B812-43BC1AAEF52F}"/>
                </c:ext>
              </c:extLst>
            </c:dLbl>
            <c:dLbl>
              <c:idx val="2"/>
              <c:layout>
                <c:manualLayout>
                  <c:x val="-5.0925337632079971E-17"/>
                  <c:y val="-3.24074074074074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35-43CE-B812-43BC1AAEF52F}"/>
                </c:ext>
              </c:extLst>
            </c:dLbl>
            <c:dLbl>
              <c:idx val="3"/>
              <c:layout>
                <c:manualLayout>
                  <c:x val="3.4793618067418375E-2"/>
                  <c:y val="-4.59091678077685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35-43CE-B812-43BC1AAEF52F}"/>
                </c:ext>
              </c:extLst>
            </c:dLbl>
            <c:dLbl>
              <c:idx val="4"/>
              <c:layout>
                <c:manualLayout>
                  <c:x val="-1.0185067526415994E-16"/>
                  <c:y val="-2.77777777777777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35-43CE-B812-43BC1AAEF52F}"/>
                </c:ext>
              </c:extLst>
            </c:dLbl>
            <c:dLbl>
              <c:idx val="5"/>
              <c:layout>
                <c:manualLayout>
                  <c:x val="6.0858211255452273E-2"/>
                  <c:y val="1.93328872853724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35-43CE-B812-43BC1AAEF52F}"/>
                </c:ext>
              </c:extLst>
            </c:dLbl>
            <c:numFmt formatCode="#,##0.0\ &quot;M&quot;&quot;€&quot;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'%produits'!$A$41:$A$46</c:f>
              <c:strCache>
                <c:ptCount val="6"/>
                <c:pt idx="0">
                  <c:v>MALADIE (avec IJ Amexa)</c:v>
                </c:pt>
                <c:pt idx="1">
                  <c:v>Atexa</c:v>
                </c:pt>
                <c:pt idx="2">
                  <c:v>FAMILLE</c:v>
                </c:pt>
                <c:pt idx="3">
                  <c:v>RETRAITE</c:v>
                </c:pt>
                <c:pt idx="4">
                  <c:v>RCO</c:v>
                </c:pt>
                <c:pt idx="5">
                  <c:v>Total RECETTES</c:v>
                </c:pt>
              </c:strCache>
            </c:strRef>
          </c:cat>
          <c:val>
            <c:numRef>
              <c:f>'%produits'!$C$41:$C$46</c:f>
              <c:numCache>
                <c:formatCode>#\ ##0.0</c:formatCode>
                <c:ptCount val="6"/>
                <c:pt idx="0">
                  <c:v>7174.6576593400005</c:v>
                </c:pt>
                <c:pt idx="1">
                  <c:v>427.02981454000002</c:v>
                </c:pt>
                <c:pt idx="2">
                  <c:v>690.39751589000002</c:v>
                </c:pt>
                <c:pt idx="3">
                  <c:v>7283.4598962299997</c:v>
                </c:pt>
                <c:pt idx="4">
                  <c:v>1222.1407849899999</c:v>
                </c:pt>
                <c:pt idx="5">
                  <c:v>16797.685670989998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835-43CE-B812-43BC1AAEF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487848"/>
        <c:axId val="436491768"/>
      </c:barChart>
      <c:catAx>
        <c:axId val="436487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36491768"/>
        <c:crosses val="autoZero"/>
        <c:auto val="1"/>
        <c:lblAlgn val="ctr"/>
        <c:lblOffset val="100"/>
        <c:noMultiLvlLbl val="0"/>
      </c:catAx>
      <c:valAx>
        <c:axId val="436491768"/>
        <c:scaling>
          <c:orientation val="minMax"/>
        </c:scaling>
        <c:delete val="1"/>
        <c:axPos val="l"/>
        <c:numFmt formatCode="#\ ##0.0" sourceLinked="1"/>
        <c:majorTickMark val="out"/>
        <c:minorTickMark val="none"/>
        <c:tickLblPos val="nextTo"/>
        <c:crossAx val="436487848"/>
        <c:crosses val="autoZero"/>
        <c:crossBetween val="between"/>
        <c:majorUnit val="2000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legend>
      <c:legendPos val="r"/>
      <c:overlay val="0"/>
      <c:txPr>
        <a:bodyPr/>
        <a:lstStyle/>
        <a:p>
          <a:pPr>
            <a:defRPr>
              <a:solidFill>
                <a:schemeClr val="accent1">
                  <a:lumMod val="75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stretch>
        <a:fillRect/>
      </a:stretch>
    </a:blipFill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fr-FR" sz="1100">
                <a:solidFill>
                  <a:schemeClr val="accent1">
                    <a:lumMod val="50000"/>
                  </a:schemeClr>
                </a:solidFill>
              </a:rPr>
              <a:t>Principales contributions à l'évolution des recettes en 2022</a:t>
            </a:r>
          </a:p>
          <a:p>
            <a:pPr>
              <a:defRPr sz="110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fr-FR" sz="1100" b="0">
                <a:solidFill>
                  <a:schemeClr val="accent1">
                    <a:lumMod val="50000"/>
                  </a:schemeClr>
                </a:solidFill>
              </a:rPr>
              <a:t>(Total : +</a:t>
            </a:r>
            <a:r>
              <a:rPr lang="fr-FR" sz="1100" b="0" baseline="0">
                <a:solidFill>
                  <a:schemeClr val="accent1">
                    <a:lumMod val="50000"/>
                  </a:schemeClr>
                </a:solidFill>
              </a:rPr>
              <a:t> 1,0</a:t>
            </a:r>
            <a:r>
              <a:rPr lang="fr-FR" sz="1100" b="0">
                <a:solidFill>
                  <a:schemeClr val="accent1">
                    <a:lumMod val="50000"/>
                  </a:schemeClr>
                </a:solidFill>
              </a:rPr>
              <a:t> point)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001138411915379"/>
          <c:y val="0.22009754458917644"/>
          <c:w val="0.83053747799597344"/>
          <c:h val="0.4733249607348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'%produits'!$H$15</c:f>
              <c:strCache>
                <c:ptCount val="1"/>
                <c:pt idx="0">
                  <c:v>Itaf (-3,1%)</c:v>
                </c:pt>
              </c:strCache>
              <c:extLst xmlns:c15="http://schemas.microsoft.com/office/drawing/2012/chart"/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DB3-40D6-AB5D-6EFC81D69F3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DB3-40D6-AB5D-6EFC81D69F31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3-0DB3-40D6-AB5D-6EFC81D69F31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5-0DB3-40D6-AB5D-6EFC81D69F3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7-0DB3-40D6-AB5D-6EFC81D69F31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9-0DB3-40D6-AB5D-6EFC81D69F31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B-0DB3-40D6-AB5D-6EFC81D69F31}"/>
              </c:ext>
            </c:extLst>
          </c:dPt>
          <c:dLbls>
            <c:dLbl>
              <c:idx val="0"/>
              <c:layout>
                <c:manualLayout>
                  <c:x val="-2.6773761713520749E-3"/>
                  <c:y val="-1.61598784573550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B3-40D6-AB5D-6EFC81D69F31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'%charges'!$I$12</c:f>
              <c:strCache>
                <c:ptCount val="1"/>
                <c:pt idx="0">
                  <c:v>Contri croiss</c:v>
                </c:pt>
              </c:strCache>
              <c:extLst xmlns:c15="http://schemas.microsoft.com/office/drawing/2012/chart"/>
            </c:strRef>
          </c:cat>
          <c:val>
            <c:numRef>
              <c:f>'%produits'!$I$15</c:f>
              <c:numCache>
                <c:formatCode>\+0.0;\-0.0</c:formatCode>
                <c:ptCount val="1"/>
                <c:pt idx="0">
                  <c:v>-0.89538779964339399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C-0DB3-40D6-AB5D-6EFC81D69F31}"/>
            </c:ext>
          </c:extLst>
        </c:ser>
        <c:ser>
          <c:idx val="1"/>
          <c:order val="1"/>
          <c:tx>
            <c:strRef>
              <c:f>'%produits'!$H$16</c:f>
              <c:strCache>
                <c:ptCount val="1"/>
                <c:pt idx="0">
                  <c:v>Contributions du Régime général (-5,2%)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E-0DB3-40D6-AB5D-6EFC81D69F31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0-0DB3-40D6-AB5D-6EFC81D69F3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2-0DB3-40D6-AB5D-6EFC81D69F31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4-0DB3-40D6-AB5D-6EFC81D69F31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6-0DB3-40D6-AB5D-6EFC81D69F31}"/>
              </c:ext>
            </c:extLst>
          </c:dPt>
          <c:dLbls>
            <c:dLbl>
              <c:idx val="0"/>
              <c:layout>
                <c:manualLayout>
                  <c:x val="2.6773761713520749E-3"/>
                  <c:y val="0.129279027658840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DB3-40D6-AB5D-6EFC81D69F31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'%charges'!$I$12</c:f>
              <c:strCache>
                <c:ptCount val="1"/>
                <c:pt idx="0">
                  <c:v>Contri croiss</c:v>
                </c:pt>
              </c:strCache>
            </c:strRef>
          </c:cat>
          <c:val>
            <c:numRef>
              <c:f>'%produits'!$I$16</c:f>
              <c:numCache>
                <c:formatCode>\+0.0;\-0.0</c:formatCode>
                <c:ptCount val="1"/>
                <c:pt idx="0">
                  <c:v>-1.4866659644510658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DB3-40D6-AB5D-6EFC81D69F31}"/>
            </c:ext>
          </c:extLst>
        </c:ser>
        <c:ser>
          <c:idx val="2"/>
          <c:order val="2"/>
          <c:tx>
            <c:strRef>
              <c:f>'%produits'!$H$19</c:f>
              <c:strCache>
                <c:ptCount val="1"/>
                <c:pt idx="0">
                  <c:v>Autres produits (-6,1%)</c:v>
                </c:pt>
              </c:strCache>
              <c:extLst xmlns:c15="http://schemas.microsoft.com/office/drawing/2012/chart"/>
            </c:strRef>
          </c:tx>
          <c:spPr>
            <a:pattFill prst="pct75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A-0DB3-40D6-AB5D-6EFC81D69F31}"/>
              </c:ext>
            </c:extLst>
          </c:dPt>
          <c:dPt>
            <c:idx val="3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C-0DB3-40D6-AB5D-6EFC81D69F31}"/>
              </c:ext>
            </c:extLst>
          </c:dPt>
          <c:dPt>
            <c:idx val="4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1E-0DB3-40D6-AB5D-6EFC81D69F31}"/>
              </c:ext>
            </c:extLst>
          </c:dPt>
          <c:dPt>
            <c:idx val="5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0-0DB3-40D6-AB5D-6EFC81D69F31}"/>
              </c:ext>
            </c:extLst>
          </c:dPt>
          <c:dPt>
            <c:idx val="6"/>
            <c:invertIfNegative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2-0DB3-40D6-AB5D-6EFC81D69F31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'%charges'!$I$12</c:f>
              <c:strCache>
                <c:ptCount val="1"/>
                <c:pt idx="0">
                  <c:v>Contri croiss</c:v>
                </c:pt>
              </c:strCache>
              <c:extLst xmlns:c15="http://schemas.microsoft.com/office/drawing/2012/chart"/>
            </c:strRef>
          </c:cat>
          <c:val>
            <c:numRef>
              <c:f>'%produits'!$I$19</c:f>
              <c:numCache>
                <c:formatCode>\+0.0;\-0.0</c:formatCode>
                <c:ptCount val="1"/>
                <c:pt idx="0">
                  <c:v>-0.52538268430382806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23-0DB3-40D6-AB5D-6EFC81D69F31}"/>
            </c:ext>
          </c:extLst>
        </c:ser>
        <c:ser>
          <c:idx val="4"/>
          <c:order val="3"/>
          <c:tx>
            <c:strRef>
              <c:f>'%produits'!$H$17</c:f>
              <c:strCache>
                <c:ptCount val="1"/>
                <c:pt idx="0">
                  <c:v>Compensation démographique (-1,5%)</c:v>
                </c:pt>
              </c:strCache>
              <c:extLst xmlns:c15="http://schemas.microsoft.com/office/drawing/2012/chart"/>
            </c:strRef>
          </c:tx>
          <c:spPr>
            <a:pattFill prst="pct50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0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5-0DB3-40D6-AB5D-6EFC81D69F31}"/>
              </c:ext>
            </c:extLst>
          </c:dPt>
          <c:dPt>
            <c:idx val="2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7-0DB3-40D6-AB5D-6EFC81D69F31}"/>
              </c:ext>
            </c:extLst>
          </c:dPt>
          <c:dPt>
            <c:idx val="3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9-0DB3-40D6-AB5D-6EFC81D69F31}"/>
              </c:ext>
            </c:extLst>
          </c:dPt>
          <c:dPt>
            <c:idx val="4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B-0DB3-40D6-AB5D-6EFC81D69F31}"/>
              </c:ext>
            </c:extLst>
          </c:dPt>
          <c:dPt>
            <c:idx val="5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D-0DB3-40D6-AB5D-6EFC81D69F31}"/>
              </c:ext>
            </c:extLst>
          </c:dPt>
          <c:dPt>
            <c:idx val="6"/>
            <c:invertIfNegative val="0"/>
            <c:bubble3D val="0"/>
            <c:spPr>
              <a:pattFill prst="pct5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2F-0DB3-40D6-AB5D-6EFC81D69F31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'%charges'!$I$12</c:f>
              <c:strCache>
                <c:ptCount val="1"/>
                <c:pt idx="0">
                  <c:v>Contri croiss</c:v>
                </c:pt>
              </c:strCache>
              <c:extLst xmlns:c15="http://schemas.microsoft.com/office/drawing/2012/chart"/>
            </c:strRef>
          </c:cat>
          <c:val>
            <c:numRef>
              <c:f>'%produits'!$I$17</c:f>
              <c:numCache>
                <c:formatCode>\+0.0;\-0.0</c:formatCode>
                <c:ptCount val="1"/>
                <c:pt idx="0">
                  <c:v>-0.2278862093875659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30-0DB3-40D6-AB5D-6EFC81D69F31}"/>
            </c:ext>
          </c:extLst>
        </c:ser>
        <c:ser>
          <c:idx val="3"/>
          <c:order val="4"/>
          <c:tx>
            <c:strRef>
              <c:f>'%produits'!$H$18</c:f>
              <c:strCache>
                <c:ptCount val="1"/>
                <c:pt idx="0">
                  <c:v>Cotisations sociales (+16,0%)</c:v>
                </c:pt>
              </c:strCache>
              <c:extLst xmlns:c15="http://schemas.microsoft.com/office/drawing/2012/chart"/>
            </c:strRef>
          </c:tx>
          <c:spPr>
            <a:pattFill prst="dkVert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dPt>
            <c:idx val="2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2-0DB3-40D6-AB5D-6EFC81D69F31}"/>
              </c:ext>
            </c:extLst>
          </c:dPt>
          <c:dPt>
            <c:idx val="3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4-0DB3-40D6-AB5D-6EFC81D69F31}"/>
              </c:ext>
            </c:extLst>
          </c:dPt>
          <c:dPt>
            <c:idx val="4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6-0DB3-40D6-AB5D-6EFC81D69F31}"/>
              </c:ext>
            </c:extLst>
          </c:dPt>
          <c:dPt>
            <c:idx val="5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8-0DB3-40D6-AB5D-6EFC81D69F31}"/>
              </c:ext>
            </c:extLst>
          </c:dPt>
          <c:dPt>
            <c:idx val="6"/>
            <c:invertIfNegative val="0"/>
            <c:bubble3D val="0"/>
            <c:spPr>
              <a:pattFill prst="dkVert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3A-0DB3-40D6-AB5D-6EFC81D69F31}"/>
              </c:ext>
            </c:extLst>
          </c:dPt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'%charges'!$I$12</c:f>
              <c:strCache>
                <c:ptCount val="1"/>
                <c:pt idx="0">
                  <c:v>Contri croiss</c:v>
                </c:pt>
              </c:strCache>
              <c:extLst xmlns:c15="http://schemas.microsoft.com/office/drawing/2012/chart"/>
            </c:strRef>
          </c:cat>
          <c:val>
            <c:numRef>
              <c:f>'%produits'!$I$18</c:f>
              <c:numCache>
                <c:formatCode>\+0.0;\-0.0</c:formatCode>
                <c:ptCount val="1"/>
                <c:pt idx="0">
                  <c:v>2.4174693020915559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3B-0DB3-40D6-AB5D-6EFC81D69F31}"/>
            </c:ext>
          </c:extLst>
        </c:ser>
        <c:ser>
          <c:idx val="6"/>
          <c:order val="5"/>
          <c:tx>
            <c:strRef>
              <c:f>'%produits'!$H$20</c:f>
              <c:strCache>
                <c:ptCount val="1"/>
                <c:pt idx="0">
                  <c:v>Prise en charge de prestations (+22,3%)</c:v>
                </c:pt>
              </c:strCache>
              <c:extLst xmlns:c15="http://schemas.microsoft.com/office/drawing/2012/chart"/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'%charges'!$I$12</c:f>
              <c:strCache>
                <c:ptCount val="1"/>
                <c:pt idx="0">
                  <c:v>Contri croiss</c:v>
                </c:pt>
              </c:strCache>
              <c:extLst xmlns:c15="http://schemas.microsoft.com/office/drawing/2012/chart"/>
            </c:strRef>
          </c:cat>
          <c:val>
            <c:numRef>
              <c:f>'%produits'!$I$20</c:f>
              <c:numCache>
                <c:formatCode>\+0.0;\-0.0</c:formatCode>
                <c:ptCount val="1"/>
                <c:pt idx="0">
                  <c:v>5.457564724985163E-2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3C-0DB3-40D6-AB5D-6EFC81D69F31}"/>
            </c:ext>
          </c:extLst>
        </c:ser>
        <c:ser>
          <c:idx val="5"/>
          <c:order val="6"/>
          <c:tx>
            <c:strRef>
              <c:f>'%produits'!$H$21</c:f>
              <c:strCache>
                <c:ptCount val="1"/>
                <c:pt idx="0">
                  <c:v>Contribution Sociale Généralisée (+16,0%)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'%produits'!$I$21</c:f>
              <c:numCache>
                <c:formatCode>\+0.0;\-0.0</c:formatCode>
                <c:ptCount val="1"/>
                <c:pt idx="0">
                  <c:v>0.41708663556218672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0DB3-40D6-AB5D-6EFC81D69F31}"/>
            </c:ext>
          </c:extLst>
        </c:ser>
        <c:ser>
          <c:idx val="7"/>
          <c:order val="7"/>
          <c:tx>
            <c:strRef>
              <c:f>'%produits'!$H$22</c:f>
              <c:strCache>
                <c:ptCount val="1"/>
                <c:pt idx="0">
                  <c:v>Cotisations prises en charge par l'Etat (-11,8%)</c:v>
                </c:pt>
              </c:strCache>
              <c:extLst xmlns:c15="http://schemas.microsoft.com/office/drawing/2012/chart"/>
            </c:strRef>
          </c:tx>
          <c:spPr>
            <a:pattFill prst="narHorz">
              <a:fgClr>
                <a:schemeClr val="tx2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dLbl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'%produits'!$I$22</c:f>
              <c:numCache>
                <c:formatCode>0.0_ ;\-0.0\ </c:formatCode>
                <c:ptCount val="1"/>
                <c:pt idx="0">
                  <c:v>-2.4300260038804169E-2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3E-0DB3-40D6-AB5D-6EFC81D69F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6489808"/>
        <c:axId val="436485888"/>
        <c:extLst/>
      </c:barChart>
      <c:catAx>
        <c:axId val="436489808"/>
        <c:scaling>
          <c:orientation val="minMax"/>
        </c:scaling>
        <c:delete val="1"/>
        <c:axPos val="b"/>
        <c:majorGridlines/>
        <c:numFmt formatCode="General" sourceLinked="1"/>
        <c:majorTickMark val="out"/>
        <c:minorTickMark val="none"/>
        <c:tickLblPos val="high"/>
        <c:crossAx val="436485888"/>
        <c:crossesAt val="0"/>
        <c:auto val="1"/>
        <c:lblAlgn val="ctr"/>
        <c:lblOffset val="100"/>
        <c:noMultiLvlLbl val="0"/>
      </c:catAx>
      <c:valAx>
        <c:axId val="436485888"/>
        <c:scaling>
          <c:orientation val="minMax"/>
          <c:max val="5"/>
          <c:min val="-5"/>
        </c:scaling>
        <c:delete val="0"/>
        <c:axPos val="l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i="1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r>
                  <a:rPr lang="fr-FR" sz="800" i="1">
                    <a:solidFill>
                      <a:schemeClr val="accent1">
                        <a:lumMod val="50000"/>
                      </a:schemeClr>
                    </a:solidFill>
                  </a:rPr>
                  <a:t>Contribution à l'évolution (en points)</a:t>
                </a:r>
              </a:p>
            </c:rich>
          </c:tx>
          <c:layout>
            <c:manualLayout>
              <c:xMode val="edge"/>
              <c:yMode val="edge"/>
              <c:x val="3.8344453931210408E-2"/>
              <c:y val="8.6514662237778178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accent1">
                    <a:lumMod val="75000"/>
                  </a:schemeClr>
                </a:solidFill>
              </a:defRPr>
            </a:pPr>
            <a:endParaRPr lang="fr-FR"/>
          </a:p>
        </c:txPr>
        <c:crossAx val="436489808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8.0321285140562242E-3"/>
          <c:y val="0.77332873017845249"/>
          <c:w val="0.99196787148594379"/>
          <c:h val="0.22667126982154751"/>
        </c:manualLayout>
      </c:layout>
      <c:overlay val="0"/>
      <c:txPr>
        <a:bodyPr/>
        <a:lstStyle/>
        <a:p>
          <a:pPr>
            <a:defRPr sz="900">
              <a:solidFill>
                <a:schemeClr val="accent1">
                  <a:lumMod val="50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145473</xdr:colOff>
      <xdr:row>2</xdr:row>
      <xdr:rowOff>105640</xdr:rowOff>
    </xdr:from>
    <xdr:to>
      <xdr:col>18</xdr:col>
      <xdr:colOff>145473</xdr:colOff>
      <xdr:row>19</xdr:row>
      <xdr:rowOff>75334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405054</xdr:colOff>
      <xdr:row>22</xdr:row>
      <xdr:rowOff>68793</xdr:rowOff>
    </xdr:from>
    <xdr:to>
      <xdr:col>19</xdr:col>
      <xdr:colOff>277379</xdr:colOff>
      <xdr:row>39</xdr:row>
      <xdr:rowOff>83971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333375</xdr:colOff>
      <xdr:row>60</xdr:row>
      <xdr:rowOff>83343</xdr:rowOff>
    </xdr:from>
    <xdr:to>
      <xdr:col>0</xdr:col>
      <xdr:colOff>1444625</xdr:colOff>
      <xdr:row>62</xdr:row>
      <xdr:rowOff>14552</xdr:rowOff>
    </xdr:to>
    <xdr:sp macro="" textlink="">
      <xdr:nvSpPr>
        <xdr:cNvPr id="7" name="ZoneTexte 1">
          <a:extLst>
            <a:ext uri="{FF2B5EF4-FFF2-40B4-BE49-F238E27FC236}">
              <a16:creationId xmlns:a16="http://schemas.microsoft.com/office/drawing/2014/main" id="{1F136F0C-7E6C-42D9-B49D-02791BFE5D88}"/>
            </a:ext>
          </a:extLst>
        </xdr:cNvPr>
        <xdr:cNvSpPr txBox="1"/>
      </xdr:nvSpPr>
      <xdr:spPr>
        <a:xfrm>
          <a:off x="333375" y="10382249"/>
          <a:ext cx="1111250" cy="2645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1200" b="1">
              <a:solidFill>
                <a:schemeClr val="bg1"/>
              </a:solidFill>
            </a:rPr>
            <a:t>1 423,0</a:t>
          </a:r>
        </a:p>
      </xdr:txBody>
    </xdr:sp>
    <xdr:clientData/>
  </xdr:twoCellAnchor>
  <xdr:twoCellAnchor>
    <xdr:from>
      <xdr:col>0</xdr:col>
      <xdr:colOff>307181</xdr:colOff>
      <xdr:row>66</xdr:row>
      <xdr:rowOff>116681</xdr:rowOff>
    </xdr:from>
    <xdr:to>
      <xdr:col>0</xdr:col>
      <xdr:colOff>1418431</xdr:colOff>
      <xdr:row>68</xdr:row>
      <xdr:rowOff>47890</xdr:rowOff>
    </xdr:to>
    <xdr:sp macro="" textlink="">
      <xdr:nvSpPr>
        <xdr:cNvPr id="8" name="ZoneTexte 1">
          <a:extLst>
            <a:ext uri="{FF2B5EF4-FFF2-40B4-BE49-F238E27FC236}">
              <a16:creationId xmlns:a16="http://schemas.microsoft.com/office/drawing/2014/main" id="{7407C7D6-B00C-40D7-9C51-A175680DACB3}"/>
            </a:ext>
          </a:extLst>
        </xdr:cNvPr>
        <xdr:cNvSpPr txBox="1"/>
      </xdr:nvSpPr>
      <xdr:spPr>
        <a:xfrm>
          <a:off x="307181" y="11415712"/>
          <a:ext cx="1111250" cy="2645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1200" b="1">
              <a:solidFill>
                <a:schemeClr val="bg1"/>
              </a:solidFill>
            </a:rPr>
            <a:t>524,1</a:t>
          </a:r>
        </a:p>
      </xdr:txBody>
    </xdr:sp>
    <xdr:clientData/>
  </xdr:twoCellAnchor>
  <xdr:twoCellAnchor>
    <xdr:from>
      <xdr:col>0</xdr:col>
      <xdr:colOff>316706</xdr:colOff>
      <xdr:row>63</xdr:row>
      <xdr:rowOff>102393</xdr:rowOff>
    </xdr:from>
    <xdr:to>
      <xdr:col>0</xdr:col>
      <xdr:colOff>1427956</xdr:colOff>
      <xdr:row>65</xdr:row>
      <xdr:rowOff>33602</xdr:rowOff>
    </xdr:to>
    <xdr:sp macro="" textlink="">
      <xdr:nvSpPr>
        <xdr:cNvPr id="9" name="ZoneTexte 1">
          <a:extLst>
            <a:ext uri="{FF2B5EF4-FFF2-40B4-BE49-F238E27FC236}">
              <a16:creationId xmlns:a16="http://schemas.microsoft.com/office/drawing/2014/main" id="{CA49913C-0218-4B0B-AE1E-E5622A9F73AD}"/>
            </a:ext>
          </a:extLst>
        </xdr:cNvPr>
        <xdr:cNvSpPr txBox="1"/>
      </xdr:nvSpPr>
      <xdr:spPr>
        <a:xfrm>
          <a:off x="316706" y="10901362"/>
          <a:ext cx="1111250" cy="26458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1200" b="1">
              <a:solidFill>
                <a:schemeClr val="bg1"/>
              </a:solidFill>
            </a:rPr>
            <a:t>572,3</a:t>
          </a:r>
        </a:p>
      </xdr:txBody>
    </xdr:sp>
    <xdr:clientData/>
  </xdr:twoCellAnchor>
  <xdr:twoCellAnchor>
    <xdr:from>
      <xdr:col>0</xdr:col>
      <xdr:colOff>276225</xdr:colOff>
      <xdr:row>70</xdr:row>
      <xdr:rowOff>2380</xdr:rowOff>
    </xdr:from>
    <xdr:to>
      <xdr:col>0</xdr:col>
      <xdr:colOff>881062</xdr:colOff>
      <xdr:row>71</xdr:row>
      <xdr:rowOff>119061</xdr:rowOff>
    </xdr:to>
    <xdr:sp macro="" textlink="">
      <xdr:nvSpPr>
        <xdr:cNvPr id="11" name="ZoneTexte 1">
          <a:extLst>
            <a:ext uri="{FF2B5EF4-FFF2-40B4-BE49-F238E27FC236}">
              <a16:creationId xmlns:a16="http://schemas.microsoft.com/office/drawing/2014/main" id="{B48DB2B2-479D-431F-A1E7-C8A796247FBE}"/>
            </a:ext>
          </a:extLst>
        </xdr:cNvPr>
        <xdr:cNvSpPr txBox="1"/>
      </xdr:nvSpPr>
      <xdr:spPr>
        <a:xfrm>
          <a:off x="276225" y="11968161"/>
          <a:ext cx="604837" cy="28336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1200" b="1">
              <a:solidFill>
                <a:schemeClr val="bg1"/>
              </a:solidFill>
            </a:rPr>
            <a:t>210,0</a:t>
          </a:r>
        </a:p>
      </xdr:txBody>
    </xdr:sp>
    <xdr:clientData/>
  </xdr:twoCellAnchor>
  <xdr:twoCellAnchor>
    <xdr:from>
      <xdr:col>0</xdr:col>
      <xdr:colOff>247651</xdr:colOff>
      <xdr:row>73</xdr:row>
      <xdr:rowOff>21430</xdr:rowOff>
    </xdr:from>
    <xdr:to>
      <xdr:col>0</xdr:col>
      <xdr:colOff>809625</xdr:colOff>
      <xdr:row>74</xdr:row>
      <xdr:rowOff>107156</xdr:rowOff>
    </xdr:to>
    <xdr:sp macro="" textlink="">
      <xdr:nvSpPr>
        <xdr:cNvPr id="13" name="ZoneTexte 1">
          <a:extLst>
            <a:ext uri="{FF2B5EF4-FFF2-40B4-BE49-F238E27FC236}">
              <a16:creationId xmlns:a16="http://schemas.microsoft.com/office/drawing/2014/main" id="{93194322-DBF5-435E-B52A-9286E19B9015}"/>
            </a:ext>
          </a:extLst>
        </xdr:cNvPr>
        <xdr:cNvSpPr txBox="1"/>
      </xdr:nvSpPr>
      <xdr:spPr>
        <a:xfrm>
          <a:off x="247651" y="12487274"/>
          <a:ext cx="561974" cy="25241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1200" b="1">
              <a:solidFill>
                <a:schemeClr val="bg1"/>
              </a:solidFill>
            </a:rPr>
            <a:t>149,4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</xdr:row>
      <xdr:rowOff>154782</xdr:rowOff>
    </xdr:from>
    <xdr:to>
      <xdr:col>5</xdr:col>
      <xdr:colOff>590551</xdr:colOff>
      <xdr:row>34</xdr:row>
      <xdr:rowOff>9526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21432</xdr:colOff>
      <xdr:row>25</xdr:row>
      <xdr:rowOff>152399</xdr:rowOff>
    </xdr:from>
    <xdr:to>
      <xdr:col>13</xdr:col>
      <xdr:colOff>609600</xdr:colOff>
      <xdr:row>41</xdr:row>
      <xdr:rowOff>140492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276225</xdr:colOff>
      <xdr:row>5</xdr:row>
      <xdr:rowOff>152400</xdr:rowOff>
    </xdr:from>
    <xdr:to>
      <xdr:col>16</xdr:col>
      <xdr:colOff>752475</xdr:colOff>
      <xdr:row>23</xdr:row>
      <xdr:rowOff>142875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740567</xdr:colOff>
      <xdr:row>5</xdr:row>
      <xdr:rowOff>114299</xdr:rowOff>
    </xdr:from>
    <xdr:to>
      <xdr:col>23</xdr:col>
      <xdr:colOff>345280</xdr:colOff>
      <xdr:row>21</xdr:row>
      <xdr:rowOff>95250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357717</xdr:colOff>
      <xdr:row>11</xdr:row>
      <xdr:rowOff>152400</xdr:rowOff>
    </xdr:from>
    <xdr:to>
      <xdr:col>5</xdr:col>
      <xdr:colOff>491067</xdr:colOff>
      <xdr:row>35</xdr:row>
      <xdr:rowOff>9526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21166</xdr:colOff>
      <xdr:row>29</xdr:row>
      <xdr:rowOff>116417</xdr:rowOff>
    </xdr:from>
    <xdr:to>
      <xdr:col>16</xdr:col>
      <xdr:colOff>681263</xdr:colOff>
      <xdr:row>45</xdr:row>
      <xdr:rowOff>97820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266700</xdr:colOff>
      <xdr:row>8</xdr:row>
      <xdr:rowOff>76200</xdr:rowOff>
    </xdr:from>
    <xdr:to>
      <xdr:col>16</xdr:col>
      <xdr:colOff>390525</xdr:colOff>
      <xdr:row>23</xdr:row>
      <xdr:rowOff>5016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47</xdr:row>
      <xdr:rowOff>19050</xdr:rowOff>
    </xdr:from>
    <xdr:to>
      <xdr:col>3</xdr:col>
      <xdr:colOff>561975</xdr:colOff>
      <xdr:row>61</xdr:row>
      <xdr:rowOff>109791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11</xdr:row>
      <xdr:rowOff>23812</xdr:rowOff>
    </xdr:from>
    <xdr:to>
      <xdr:col>7</xdr:col>
      <xdr:colOff>495300</xdr:colOff>
      <xdr:row>33</xdr:row>
      <xdr:rowOff>114300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495299</xdr:colOff>
      <xdr:row>11</xdr:row>
      <xdr:rowOff>38101</xdr:rowOff>
    </xdr:from>
    <xdr:to>
      <xdr:col>15</xdr:col>
      <xdr:colOff>342900</xdr:colOff>
      <xdr:row>26</xdr:row>
      <xdr:rowOff>85726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10</xdr:row>
      <xdr:rowOff>85724</xdr:rowOff>
    </xdr:from>
    <xdr:to>
      <xdr:col>7</xdr:col>
      <xdr:colOff>85725</xdr:colOff>
      <xdr:row>31</xdr:row>
      <xdr:rowOff>19050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152400</xdr:colOff>
      <xdr:row>31</xdr:row>
      <xdr:rowOff>85725</xdr:rowOff>
    </xdr:from>
    <xdr:to>
      <xdr:col>13</xdr:col>
      <xdr:colOff>247650</xdr:colOff>
      <xdr:row>47</xdr:row>
      <xdr:rowOff>85725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1_STATS_MISSION_SYNTHESES/03_FINANCEMENT/00_GESTION_MS/04_%20CU_INMA_RAPPACT/Donn&#233;es2024/3-%20ChiffresUtiles_Edition2024_PartieFinancementR&#233;alisations_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1_STATS_MISSION_SYNTHESES/03_FINANCEMENT/00_GESTION_MS/04_%20CU_INMA_RAPPACT/Donn&#233;es2021/3-%20ChiffresUtiles_Edition2021_PartieFinancementR&#233;alisations_%20N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CHANGES\MEFC_SDFT\TCDC\Pr&#233;visions_2024-2028\TCDC_PREVISIONS_2024-2028_NSA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1_STATS_MISSION_SYNTHESES/03_FINANCEMENT/01_TCDC/02_PREVISIONS/Exercice%202024_2024-2028/3%20-%20EFFECTIFS/1%20-%20AVRIL/TCDC_PREVISIONS_EFFECTIFS_2024-2028_NSA_AVRIL_20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1_STATS_MISSION_SYNTHESES/03_FINANCEMENT/01_TCDC/02_PREVISIONS/Exercice%202024_2024-2028/3%20-%20EFFECTIFS/1%20-%20AVRIL/TCDC_PREVISIONS_EFFECTIFS_2024-2028_RCO_AVRIL_202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1_STATS_MISSION_SYNTHESES/03_FINANCEMENT/01_TCDC/01_REALISATIONS/2023/3%20-%20MAQUETTES/2%20-%20Maquettes%20compl&#233;t&#233;es%20et%20valid&#233;es_Sharepoint/1_NSA/Maquette_R&#233;alisations2023_FAMILLE%20NS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1-STATISTIQUES/01_STATS_MISSION_SYNTHESES/03_FINANCEMENT/01_TCDC/01_REALISATIONS/2023/3%20-%20MAQUETTES/2%20-%20Maquettes%20compl&#233;t&#233;es%20et%20valid&#233;es_Sharepoint/1_NSA/Maquette_R&#233;alisations2023_COTISATIONS%20N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à Jean Baptiste FLOCH"/>
      <sheetName val="COMPTES SA OK"/>
      <sheetName val="COMPTES NSA OK"/>
      <sheetName val="COMPTES NSA+SA_Prestations OK"/>
      <sheetName val="COMPTES NSA+SA_Cotisations"/>
      <sheetName val="assiette RP OK"/>
      <sheetName val="masse salariale +graph9 OK"/>
      <sheetName val="CSG CRDS OK"/>
      <sheetName val="Graph0 OK"/>
      <sheetName val="DonnéesGraph1 OK"/>
      <sheetName val="DonnéesGraph2 OK"/>
      <sheetName val="DonnéesGraph3 OK"/>
      <sheetName val="DonnéesGraph4 OK"/>
      <sheetName val="DonnéesGraph5 OK"/>
      <sheetName val="DonnéesGraph6 OK"/>
      <sheetName val="DonnéesGraph7&amp;8 OK"/>
    </sheetNames>
    <sheetDataSet>
      <sheetData sheetId="0"/>
      <sheetData sheetId="1"/>
      <sheetData sheetId="2">
        <row r="6">
          <cell r="S6">
            <v>451.21651058999998</v>
          </cell>
          <cell r="T6">
            <v>467.49386817000004</v>
          </cell>
          <cell r="U6">
            <v>457.67057166999996</v>
          </cell>
          <cell r="V6">
            <v>572.34634403999996</v>
          </cell>
        </row>
        <row r="7">
          <cell r="C7">
            <v>6776.9118236400009</v>
          </cell>
          <cell r="D7">
            <v>5963.9411127700005</v>
          </cell>
          <cell r="E7">
            <v>6083.4483174000006</v>
          </cell>
          <cell r="F7">
            <v>6141.0287953800007</v>
          </cell>
          <cell r="S7">
            <v>71.808375310000002</v>
          </cell>
          <cell r="T7">
            <v>68.482383510000005</v>
          </cell>
          <cell r="U7">
            <v>68.314265239999997</v>
          </cell>
          <cell r="V7">
            <v>75.071626539999997</v>
          </cell>
        </row>
        <row r="8">
          <cell r="C8">
            <v>75.214825270000006</v>
          </cell>
          <cell r="D8">
            <v>65.530601610000005</v>
          </cell>
          <cell r="E8">
            <v>69.946866200000002</v>
          </cell>
          <cell r="F8">
            <v>71.345601070000001</v>
          </cell>
        </row>
        <row r="14">
          <cell r="S14">
            <v>19.191996899999999</v>
          </cell>
          <cell r="T14">
            <v>30.011628459999997</v>
          </cell>
          <cell r="U14">
            <v>15.44999267</v>
          </cell>
          <cell r="V14">
            <v>15.07560353</v>
          </cell>
        </row>
        <row r="15">
          <cell r="C15">
            <v>1657.8487962000002</v>
          </cell>
          <cell r="D15">
            <v>477.99347564000004</v>
          </cell>
          <cell r="E15">
            <v>484.39312775999997</v>
          </cell>
          <cell r="F15">
            <v>327.83553071</v>
          </cell>
          <cell r="S15">
            <v>1.2940811400000001</v>
          </cell>
          <cell r="T15">
            <v>4.6865541799999999</v>
          </cell>
          <cell r="U15">
            <v>1.5952792600000001</v>
          </cell>
          <cell r="V15">
            <v>1.3427944700000001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22">
          <cell r="S22">
            <v>583.74474866000003</v>
          </cell>
          <cell r="T22">
            <v>423.79147576000003</v>
          </cell>
          <cell r="U22">
            <v>438.55704474999999</v>
          </cell>
          <cell r="V22">
            <v>508.80796943000001</v>
          </cell>
        </row>
        <row r="23">
          <cell r="C23">
            <v>19.567514899999999</v>
          </cell>
          <cell r="D23">
            <v>17.187079529999998</v>
          </cell>
          <cell r="E23">
            <v>17.214153500000002</v>
          </cell>
          <cell r="F23">
            <v>16.80110998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C24">
            <v>0.5854617299999999</v>
          </cell>
          <cell r="D24">
            <v>0.53185790999999993</v>
          </cell>
          <cell r="E24">
            <v>0.57693373999999997</v>
          </cell>
          <cell r="F24">
            <v>0.61987234000000002</v>
          </cell>
        </row>
        <row r="30">
          <cell r="S30">
            <v>1421.47587593</v>
          </cell>
          <cell r="T30">
            <v>1522.8341223000002</v>
          </cell>
          <cell r="U30">
            <v>1558.7126166600001</v>
          </cell>
          <cell r="V30">
            <v>1512.9845784300001</v>
          </cell>
        </row>
        <row r="31"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3">
          <cell r="C33">
            <v>0.1911079</v>
          </cell>
          <cell r="D33">
            <v>0.20899081</v>
          </cell>
          <cell r="E33">
            <v>0.22656298999999999</v>
          </cell>
          <cell r="F33">
            <v>0.95177489999999998</v>
          </cell>
        </row>
        <row r="34">
          <cell r="C34">
            <v>0.27227548000000001</v>
          </cell>
          <cell r="D34">
            <v>0.20124025999999998</v>
          </cell>
          <cell r="E34">
            <v>0.38266608000000002</v>
          </cell>
          <cell r="F34">
            <v>3.4598130000000005E-2</v>
          </cell>
        </row>
        <row r="41">
          <cell r="C41">
            <v>1.02463908</v>
          </cell>
          <cell r="D41">
            <v>0.61197191000000006</v>
          </cell>
          <cell r="E41">
            <v>0</v>
          </cell>
          <cell r="F41">
            <v>0</v>
          </cell>
        </row>
        <row r="42">
          <cell r="C42">
            <v>9.8908672699999993</v>
          </cell>
          <cell r="D42">
            <v>10.45082487</v>
          </cell>
          <cell r="E42">
            <v>9.9508104500000005</v>
          </cell>
          <cell r="F42">
            <v>10.627469749999999</v>
          </cell>
        </row>
        <row r="46">
          <cell r="S46">
            <v>1255.61579622</v>
          </cell>
          <cell r="T46">
            <v>4.8058407399999998</v>
          </cell>
          <cell r="U46">
            <v>9.7040036199999999</v>
          </cell>
          <cell r="V46">
            <v>20.360506970000003</v>
          </cell>
        </row>
        <row r="47">
          <cell r="S47">
            <v>0</v>
          </cell>
          <cell r="T47">
            <v>0</v>
          </cell>
          <cell r="U47">
            <v>0</v>
          </cell>
          <cell r="V47">
            <v>0</v>
          </cell>
        </row>
        <row r="49">
          <cell r="C49">
            <v>485.00673768000001</v>
          </cell>
          <cell r="D49">
            <v>453.02390021999997</v>
          </cell>
          <cell r="E49">
            <v>428.84193866000004</v>
          </cell>
          <cell r="F49">
            <v>404.78581773000002</v>
          </cell>
        </row>
        <row r="50">
          <cell r="C50">
            <v>27.190463999999999</v>
          </cell>
          <cell r="D50">
            <v>18.745853</v>
          </cell>
          <cell r="E50">
            <v>19.205607539999999</v>
          </cell>
          <cell r="F50">
            <v>19.134703520000002</v>
          </cell>
        </row>
        <row r="54">
          <cell r="S54">
            <v>0.30894443999999999</v>
          </cell>
          <cell r="T54">
            <v>0.38815246000000003</v>
          </cell>
          <cell r="U54">
            <v>1.0998239300000001</v>
          </cell>
          <cell r="V54">
            <v>10.266325530000001</v>
          </cell>
        </row>
        <row r="55">
          <cell r="S55">
            <v>0.12235303</v>
          </cell>
          <cell r="T55">
            <v>0.27997663</v>
          </cell>
          <cell r="U55">
            <v>0.30687808</v>
          </cell>
          <cell r="V55">
            <v>0.43215452999999998</v>
          </cell>
        </row>
        <row r="57">
          <cell r="C57">
            <v>194.84174231999998</v>
          </cell>
          <cell r="D57">
            <v>190.59327306</v>
          </cell>
          <cell r="E57">
            <v>189.49664781999999</v>
          </cell>
          <cell r="F57">
            <v>186.03295477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62">
          <cell r="S62">
            <v>31.014760259999999</v>
          </cell>
          <cell r="T62">
            <v>21.279295989999998</v>
          </cell>
          <cell r="U62">
            <v>26.528805170000002</v>
          </cell>
          <cell r="V62">
            <v>20.156964240000001</v>
          </cell>
        </row>
        <row r="63">
          <cell r="S63">
            <v>0.34529828000000001</v>
          </cell>
          <cell r="T63">
            <v>0.66028694999999993</v>
          </cell>
          <cell r="U63">
            <v>0.77838198000000003</v>
          </cell>
          <cell r="V63">
            <v>0.65676167000000008</v>
          </cell>
        </row>
        <row r="70"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S71">
            <v>4.6778260000000002E-2</v>
          </cell>
          <cell r="T71">
            <v>3.5270170000000003E-2</v>
          </cell>
          <cell r="U71">
            <v>0</v>
          </cell>
          <cell r="V71">
            <v>0</v>
          </cell>
        </row>
        <row r="78">
          <cell r="S78">
            <v>396.95243077999993</v>
          </cell>
          <cell r="T78">
            <v>491.61148224000004</v>
          </cell>
          <cell r="U78">
            <v>464.45361159999999</v>
          </cell>
          <cell r="V78">
            <v>454.29726004999998</v>
          </cell>
        </row>
        <row r="79">
          <cell r="S79">
            <v>13.861971</v>
          </cell>
          <cell r="T79">
            <v>27.11892701</v>
          </cell>
          <cell r="U79">
            <v>18.746635550000001</v>
          </cell>
          <cell r="V79">
            <v>19.718408659999998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lvie"/>
      <sheetName val="COMPTES SA ok"/>
      <sheetName val="COMPTES NSA ok"/>
      <sheetName val="COMPTES NSA+SA_Prestations ok"/>
      <sheetName val="COMPTES NSA+SA_Cotisations ok"/>
      <sheetName val="assiette RP ok"/>
      <sheetName val="masse salariale 2019+graph9 ok"/>
      <sheetName val="CSG CRDS ok"/>
      <sheetName val="Graph0 ok"/>
      <sheetName val="DonnéesGraph1 ok"/>
      <sheetName val="DonnéesGraph2 ok"/>
      <sheetName val="DonnéesGraph3 ok"/>
      <sheetName val="DonnéesGraph4 ok"/>
      <sheetName val="DonnéesGraph5 ok"/>
      <sheetName val="DonnéesGraph6 ok"/>
      <sheetName val="DonnéesGraph7&amp;8 ok"/>
    </sheetNames>
    <sheetDataSet>
      <sheetData sheetId="0"/>
      <sheetData sheetId="1">
        <row r="50">
          <cell r="D50">
            <v>14784.025856220003</v>
          </cell>
        </row>
      </sheetData>
      <sheetData sheetId="2">
        <row r="6">
          <cell r="O6">
            <v>268.76247095999997</v>
          </cell>
        </row>
        <row r="24">
          <cell r="R24">
            <v>0</v>
          </cell>
        </row>
        <row r="25">
          <cell r="R25">
            <v>0</v>
          </cell>
        </row>
        <row r="26">
          <cell r="R26">
            <v>0</v>
          </cell>
        </row>
        <row r="27">
          <cell r="R2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égende prévisions DCF"/>
      <sheetName val="Maladie"/>
      <sheetName val="AT_ANC"/>
      <sheetName val="IJ AMEXA"/>
      <sheetName val="AT"/>
      <sheetName val="AT_ANC "/>
      <sheetName val="Famille"/>
      <sheetName val="Vieillesse"/>
      <sheetName val="RCO"/>
      <sheetName val="Hypotheses"/>
      <sheetName val="cot prev gestion ATEXA2023"/>
      <sheetName val="cot prev gestion ATEXA2022"/>
      <sheetName val="recettes"/>
      <sheetName val="compens"/>
      <sheetName val="cot prev gestion ATEXA2021"/>
      <sheetName val="cot prev gestion ATEXA2020"/>
      <sheetName val="Contribution RG"/>
      <sheetName val="Soldes Tech Gest"/>
      <sheetName val="Charges Interet"/>
      <sheetName val="Synthese"/>
      <sheetName val="Commentaires"/>
    </sheetNames>
    <sheetDataSet>
      <sheetData sheetId="0"/>
      <sheetData sheetId="1">
        <row r="12">
          <cell r="H12">
            <v>6063.3606267700006</v>
          </cell>
          <cell r="I12">
            <v>6119.5749878300012</v>
          </cell>
        </row>
        <row r="156">
          <cell r="H156">
            <v>457.67057166999996</v>
          </cell>
          <cell r="I156">
            <v>572.34634403999996</v>
          </cell>
        </row>
        <row r="213">
          <cell r="H213">
            <v>4231.4442780600002</v>
          </cell>
          <cell r="I213">
            <v>3963.1403612499998</v>
          </cell>
        </row>
        <row r="214">
          <cell r="H214">
            <v>9.7040036199999999</v>
          </cell>
          <cell r="I214">
            <v>20.360506970000003</v>
          </cell>
        </row>
        <row r="238">
          <cell r="H238">
            <v>454.25449061</v>
          </cell>
          <cell r="I238">
            <v>428.64191916999999</v>
          </cell>
        </row>
      </sheetData>
      <sheetData sheetId="2"/>
      <sheetData sheetId="3">
        <row r="12">
          <cell r="G12">
            <v>69.946866200000002</v>
          </cell>
          <cell r="H12">
            <v>71.345601070000001</v>
          </cell>
        </row>
        <row r="61">
          <cell r="G61">
            <v>68.314265239999997</v>
          </cell>
          <cell r="H61">
            <v>75.071626539999997</v>
          </cell>
        </row>
        <row r="78">
          <cell r="G78">
            <v>18.745853</v>
          </cell>
          <cell r="H78">
            <v>19.708557539999997</v>
          </cell>
        </row>
      </sheetData>
      <sheetData sheetId="4">
        <row r="11">
          <cell r="H11">
            <v>128.67936637</v>
          </cell>
          <cell r="I11">
            <v>132.37947553000001</v>
          </cell>
        </row>
        <row r="97">
          <cell r="H97">
            <v>187.50811718999998</v>
          </cell>
          <cell r="I97">
            <v>209.9534434</v>
          </cell>
        </row>
        <row r="121">
          <cell r="H121">
            <v>0</v>
          </cell>
          <cell r="I121">
            <v>0</v>
          </cell>
        </row>
        <row r="131">
          <cell r="H131">
            <v>103.31914045000001</v>
          </cell>
          <cell r="I131">
            <v>101.93115940000001</v>
          </cell>
        </row>
      </sheetData>
      <sheetData sheetId="5"/>
      <sheetData sheetId="6">
        <row r="11">
          <cell r="H11">
            <v>314.95669365999998</v>
          </cell>
          <cell r="I11">
            <v>324.95784235999997</v>
          </cell>
        </row>
        <row r="98">
          <cell r="H98">
            <v>104.52643218999999</v>
          </cell>
          <cell r="I98">
            <v>149.38287507999999</v>
          </cell>
        </row>
        <row r="123">
          <cell r="H123">
            <v>408.39499180000001</v>
          </cell>
          <cell r="I123">
            <v>426.29611506999998</v>
          </cell>
        </row>
        <row r="132">
          <cell r="H132">
            <v>62.208850720000001</v>
          </cell>
          <cell r="I132">
            <v>54.075911179999999</v>
          </cell>
        </row>
      </sheetData>
      <sheetData sheetId="7">
        <row r="11">
          <cell r="H11">
            <v>6670.173006009999</v>
          </cell>
          <cell r="I11">
            <v>6646.4055784800003</v>
          </cell>
        </row>
        <row r="106">
          <cell r="H106">
            <v>1258.6198170999999</v>
          </cell>
          <cell r="I106">
            <v>1423.0053414799997</v>
          </cell>
        </row>
        <row r="147">
          <cell r="H147">
            <v>2644</v>
          </cell>
          <cell r="I147">
            <v>2605.616567</v>
          </cell>
        </row>
        <row r="150">
          <cell r="H150">
            <v>31.4634958</v>
          </cell>
          <cell r="I150">
            <v>29.999302530000001</v>
          </cell>
        </row>
        <row r="168">
          <cell r="H168">
            <v>295.09391356999998</v>
          </cell>
          <cell r="I168">
            <v>269.39200333000002</v>
          </cell>
        </row>
      </sheetData>
      <sheetData sheetId="8">
        <row r="11">
          <cell r="H11">
            <v>1038.6704697499999</v>
          </cell>
          <cell r="I11">
            <v>1057.9384357900001</v>
          </cell>
        </row>
        <row r="66">
          <cell r="H66">
            <v>470.07117010000002</v>
          </cell>
          <cell r="I66">
            <v>524.13102487999993</v>
          </cell>
        </row>
        <row r="82">
          <cell r="H82">
            <v>107.24503216999999</v>
          </cell>
          <cell r="I82">
            <v>107.27608479999999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fectifs"/>
    </sheetNames>
    <sheetDataSet>
      <sheetData sheetId="0">
        <row r="11">
          <cell r="N11">
            <v>1160308</v>
          </cell>
          <cell r="P11">
            <v>1122114</v>
          </cell>
        </row>
        <row r="17">
          <cell r="N17">
            <v>1213545</v>
          </cell>
          <cell r="P17">
            <v>1174497</v>
          </cell>
        </row>
        <row r="21">
          <cell r="N21">
            <v>11887</v>
          </cell>
          <cell r="P21">
            <v>11542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fectifs"/>
    </sheetNames>
    <sheetDataSet>
      <sheetData sheetId="0">
        <row r="8">
          <cell r="P8">
            <v>654458</v>
          </cell>
          <cell r="R8">
            <v>643891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ille NSA - Tableau 1"/>
      <sheetName val="Famille NSA - Tableau 2"/>
      <sheetName val="Famille NSA - Tableaux 3&amp;4"/>
      <sheetName val="Famille NSA - Ecarts1"/>
      <sheetName val="Famille NSA - Ecarts2"/>
      <sheetName val="Chiffrage des mesures 2023"/>
    </sheetNames>
    <sheetDataSet>
      <sheetData sheetId="0">
        <row r="31">
          <cell r="B31">
            <v>75110</v>
          </cell>
          <cell r="C31">
            <v>74127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tisations NSA - Tableaux 1à4 "/>
      <sheetName val="Cotisations NSA - Tableau 5"/>
      <sheetName val="Cotisations NSA - Tableau 6"/>
      <sheetName val="Cotisations NSA - Ecarts1"/>
      <sheetName val="Cotisations NSA - Ecarts2"/>
      <sheetName val="Chiffrage des mesures 2023"/>
    </sheetNames>
    <sheetDataSet>
      <sheetData sheetId="0">
        <row r="5">
          <cell r="B5">
            <v>425857</v>
          </cell>
          <cell r="E5">
            <v>421270</v>
          </cell>
        </row>
        <row r="6">
          <cell r="B6">
            <v>20060</v>
          </cell>
          <cell r="E6">
            <v>18175</v>
          </cell>
        </row>
        <row r="7">
          <cell r="B7">
            <v>2804</v>
          </cell>
          <cell r="E7">
            <v>2660</v>
          </cell>
        </row>
        <row r="8">
          <cell r="B8">
            <v>448721</v>
          </cell>
          <cell r="E8">
            <v>442105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umanoir.newten@ccmsa.msa.fr" TargetMode="External"/><Relationship Id="rId2" Type="http://schemas.openxmlformats.org/officeDocument/2006/relationships/hyperlink" Target="mailto:foucaud.david@ccmsa.msa.fr" TargetMode="External"/><Relationship Id="rId1" Type="http://schemas.openxmlformats.org/officeDocument/2006/relationships/hyperlink" Target="mailto:joubert.nadia@ccmsa.msa.fr" TargetMode="External"/><Relationship Id="rId4" Type="http://schemas.openxmlformats.org/officeDocument/2006/relationships/hyperlink" Target="mailto:sevestre.yannick@ccmsa.msa.fr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4661A-2793-41A1-86CB-8B918A5F9865}">
  <dimension ref="A1:AG166"/>
  <sheetViews>
    <sheetView showGridLines="0" tabSelected="1" workbookViewId="0"/>
  </sheetViews>
  <sheetFormatPr baseColWidth="10" defaultRowHeight="12.75" x14ac:dyDescent="0.2"/>
  <cols>
    <col min="8" max="33" width="11.42578125" style="525"/>
  </cols>
  <sheetData>
    <row r="1" spans="1:7" ht="13.5" thickTop="1" x14ac:dyDescent="0.2">
      <c r="A1" s="522"/>
      <c r="B1" s="523"/>
      <c r="C1" s="523"/>
      <c r="D1" s="523"/>
      <c r="E1" s="523"/>
      <c r="F1" s="523"/>
      <c r="G1" s="524" t="s">
        <v>212</v>
      </c>
    </row>
    <row r="2" spans="1:7" x14ac:dyDescent="0.2">
      <c r="A2" s="526"/>
      <c r="G2" s="527"/>
    </row>
    <row r="3" spans="1:7" x14ac:dyDescent="0.2">
      <c r="A3" s="526"/>
      <c r="G3" s="527"/>
    </row>
    <row r="4" spans="1:7" x14ac:dyDescent="0.2">
      <c r="A4" s="526"/>
      <c r="G4" s="527"/>
    </row>
    <row r="5" spans="1:7" ht="20.25" x14ac:dyDescent="0.3">
      <c r="A5" s="528" t="s">
        <v>200</v>
      </c>
      <c r="B5" s="529"/>
      <c r="C5" s="529"/>
      <c r="D5" s="529"/>
      <c r="E5" s="529"/>
      <c r="F5" s="529"/>
      <c r="G5" s="530"/>
    </row>
    <row r="6" spans="1:7" ht="20.25" x14ac:dyDescent="0.3">
      <c r="A6" s="528" t="s">
        <v>213</v>
      </c>
      <c r="B6" s="529"/>
      <c r="C6" s="529"/>
      <c r="D6" s="529"/>
      <c r="E6" s="529"/>
      <c r="F6" s="529"/>
      <c r="G6" s="530"/>
    </row>
    <row r="7" spans="1:7" ht="20.25" x14ac:dyDescent="0.3">
      <c r="A7" s="531"/>
      <c r="B7" s="532"/>
      <c r="C7" s="532"/>
      <c r="D7" s="532"/>
      <c r="E7" s="532"/>
      <c r="F7" s="532"/>
      <c r="G7" s="533"/>
    </row>
    <row r="8" spans="1:7" x14ac:dyDescent="0.2">
      <c r="A8" s="526"/>
      <c r="G8" s="527"/>
    </row>
    <row r="9" spans="1:7" x14ac:dyDescent="0.2">
      <c r="A9" s="526"/>
      <c r="G9" s="527"/>
    </row>
    <row r="10" spans="1:7" x14ac:dyDescent="0.2">
      <c r="A10" s="526"/>
      <c r="G10" s="534" t="s">
        <v>159</v>
      </c>
    </row>
    <row r="11" spans="1:7" x14ac:dyDescent="0.2">
      <c r="A11" s="526" t="s">
        <v>201</v>
      </c>
      <c r="G11" s="527"/>
    </row>
    <row r="12" spans="1:7" x14ac:dyDescent="0.2">
      <c r="A12" s="535" t="s">
        <v>202</v>
      </c>
      <c r="G12" s="527"/>
    </row>
    <row r="13" spans="1:7" x14ac:dyDescent="0.2">
      <c r="A13" s="536" t="s">
        <v>203</v>
      </c>
      <c r="G13" s="527"/>
    </row>
    <row r="14" spans="1:7" x14ac:dyDescent="0.2">
      <c r="A14" s="537"/>
      <c r="G14" s="527"/>
    </row>
    <row r="15" spans="1:7" x14ac:dyDescent="0.2">
      <c r="A15" s="535" t="s">
        <v>204</v>
      </c>
      <c r="G15" s="527"/>
    </row>
    <row r="16" spans="1:7" x14ac:dyDescent="0.2">
      <c r="A16" s="535" t="s">
        <v>205</v>
      </c>
      <c r="G16" s="527"/>
    </row>
    <row r="17" spans="1:7" x14ac:dyDescent="0.2">
      <c r="A17" s="538" t="s">
        <v>206</v>
      </c>
      <c r="G17" s="527"/>
    </row>
    <row r="18" spans="1:7" x14ac:dyDescent="0.2">
      <c r="A18" s="538"/>
      <c r="G18" s="527"/>
    </row>
    <row r="19" spans="1:7" x14ac:dyDescent="0.2">
      <c r="A19" s="539" t="s">
        <v>207</v>
      </c>
      <c r="B19" s="150"/>
      <c r="C19" s="150"/>
      <c r="G19" s="527"/>
    </row>
    <row r="20" spans="1:7" x14ac:dyDescent="0.2">
      <c r="A20" s="539" t="s">
        <v>208</v>
      </c>
      <c r="B20" s="150"/>
      <c r="C20" s="150"/>
      <c r="G20" s="527"/>
    </row>
    <row r="21" spans="1:7" x14ac:dyDescent="0.2">
      <c r="A21" s="538" t="s">
        <v>209</v>
      </c>
      <c r="G21" s="527"/>
    </row>
    <row r="22" spans="1:7" x14ac:dyDescent="0.2">
      <c r="A22" s="526"/>
      <c r="G22" s="527"/>
    </row>
    <row r="23" spans="1:7" x14ac:dyDescent="0.2">
      <c r="A23" s="540" t="s">
        <v>210</v>
      </c>
      <c r="G23" s="527"/>
    </row>
    <row r="24" spans="1:7" x14ac:dyDescent="0.2">
      <c r="A24" s="538" t="s">
        <v>211</v>
      </c>
      <c r="G24" s="527"/>
    </row>
    <row r="25" spans="1:7" ht="13.5" thickBot="1" x14ac:dyDescent="0.25">
      <c r="A25" s="541"/>
      <c r="B25" s="542"/>
      <c r="C25" s="542"/>
      <c r="D25" s="542"/>
      <c r="E25" s="542"/>
      <c r="F25" s="542"/>
      <c r="G25" s="543"/>
    </row>
    <row r="26" spans="1:7" s="525" customFormat="1" ht="13.5" thickTop="1" x14ac:dyDescent="0.2"/>
    <row r="27" spans="1:7" s="525" customFormat="1" x14ac:dyDescent="0.2"/>
    <row r="28" spans="1:7" s="525" customFormat="1" x14ac:dyDescent="0.2"/>
    <row r="29" spans="1:7" s="525" customFormat="1" x14ac:dyDescent="0.2"/>
    <row r="30" spans="1:7" s="525" customFormat="1" x14ac:dyDescent="0.2"/>
    <row r="31" spans="1:7" s="525" customFormat="1" x14ac:dyDescent="0.2"/>
    <row r="32" spans="1:7" s="525" customFormat="1" x14ac:dyDescent="0.2"/>
    <row r="33" s="525" customFormat="1" x14ac:dyDescent="0.2"/>
    <row r="34" s="525" customFormat="1" x14ac:dyDescent="0.2"/>
    <row r="35" s="525" customFormat="1" x14ac:dyDescent="0.2"/>
    <row r="36" s="525" customFormat="1" x14ac:dyDescent="0.2"/>
    <row r="37" s="525" customFormat="1" x14ac:dyDescent="0.2"/>
    <row r="38" s="525" customFormat="1" x14ac:dyDescent="0.2"/>
    <row r="39" s="525" customFormat="1" x14ac:dyDescent="0.2"/>
    <row r="40" s="525" customFormat="1" x14ac:dyDescent="0.2"/>
    <row r="41" s="525" customFormat="1" x14ac:dyDescent="0.2"/>
    <row r="42" s="525" customFormat="1" x14ac:dyDescent="0.2"/>
    <row r="43" s="525" customFormat="1" x14ac:dyDescent="0.2"/>
    <row r="44" s="525" customFormat="1" x14ac:dyDescent="0.2"/>
    <row r="45" s="525" customFormat="1" x14ac:dyDescent="0.2"/>
    <row r="46" s="525" customFormat="1" x14ac:dyDescent="0.2"/>
    <row r="47" s="525" customFormat="1" x14ac:dyDescent="0.2"/>
    <row r="48" s="525" customFormat="1" x14ac:dyDescent="0.2"/>
    <row r="49" s="525" customFormat="1" x14ac:dyDescent="0.2"/>
    <row r="50" s="525" customFormat="1" x14ac:dyDescent="0.2"/>
    <row r="51" s="525" customFormat="1" x14ac:dyDescent="0.2"/>
    <row r="52" s="525" customFormat="1" x14ac:dyDescent="0.2"/>
    <row r="53" s="525" customFormat="1" x14ac:dyDescent="0.2"/>
    <row r="54" s="525" customFormat="1" x14ac:dyDescent="0.2"/>
    <row r="55" s="525" customFormat="1" x14ac:dyDescent="0.2"/>
    <row r="56" s="525" customFormat="1" x14ac:dyDescent="0.2"/>
    <row r="57" s="525" customFormat="1" x14ac:dyDescent="0.2"/>
    <row r="58" s="525" customFormat="1" x14ac:dyDescent="0.2"/>
    <row r="59" s="525" customFormat="1" x14ac:dyDescent="0.2"/>
    <row r="60" s="525" customFormat="1" x14ac:dyDescent="0.2"/>
    <row r="61" s="525" customFormat="1" x14ac:dyDescent="0.2"/>
    <row r="62" s="525" customFormat="1" x14ac:dyDescent="0.2"/>
    <row r="63" s="525" customFormat="1" x14ac:dyDescent="0.2"/>
    <row r="64" s="525" customFormat="1" x14ac:dyDescent="0.2"/>
    <row r="65" s="525" customFormat="1" x14ac:dyDescent="0.2"/>
    <row r="66" s="525" customFormat="1" x14ac:dyDescent="0.2"/>
    <row r="67" s="525" customFormat="1" x14ac:dyDescent="0.2"/>
    <row r="68" s="525" customFormat="1" x14ac:dyDescent="0.2"/>
    <row r="69" s="525" customFormat="1" x14ac:dyDescent="0.2"/>
    <row r="70" s="525" customFormat="1" x14ac:dyDescent="0.2"/>
    <row r="71" s="525" customFormat="1" x14ac:dyDescent="0.2"/>
    <row r="72" s="525" customFormat="1" x14ac:dyDescent="0.2"/>
    <row r="73" s="525" customFormat="1" x14ac:dyDescent="0.2"/>
    <row r="74" s="525" customFormat="1" x14ac:dyDescent="0.2"/>
    <row r="75" s="525" customFormat="1" x14ac:dyDescent="0.2"/>
    <row r="76" s="525" customFormat="1" x14ac:dyDescent="0.2"/>
    <row r="77" s="525" customFormat="1" x14ac:dyDescent="0.2"/>
    <row r="78" s="525" customFormat="1" x14ac:dyDescent="0.2"/>
    <row r="79" s="525" customFormat="1" x14ac:dyDescent="0.2"/>
    <row r="80" s="525" customFormat="1" x14ac:dyDescent="0.2"/>
    <row r="81" s="525" customFormat="1" x14ac:dyDescent="0.2"/>
    <row r="82" s="525" customFormat="1" x14ac:dyDescent="0.2"/>
    <row r="83" s="525" customFormat="1" x14ac:dyDescent="0.2"/>
    <row r="84" s="525" customFormat="1" x14ac:dyDescent="0.2"/>
    <row r="85" s="525" customFormat="1" x14ac:dyDescent="0.2"/>
    <row r="86" s="525" customFormat="1" x14ac:dyDescent="0.2"/>
    <row r="87" s="525" customFormat="1" x14ac:dyDescent="0.2"/>
    <row r="88" s="525" customFormat="1" x14ac:dyDescent="0.2"/>
    <row r="89" s="525" customFormat="1" x14ac:dyDescent="0.2"/>
    <row r="90" s="525" customFormat="1" x14ac:dyDescent="0.2"/>
    <row r="91" s="525" customFormat="1" x14ac:dyDescent="0.2"/>
    <row r="92" s="525" customFormat="1" x14ac:dyDescent="0.2"/>
    <row r="93" s="525" customFormat="1" x14ac:dyDescent="0.2"/>
    <row r="94" s="525" customFormat="1" x14ac:dyDescent="0.2"/>
    <row r="95" s="525" customFormat="1" x14ac:dyDescent="0.2"/>
    <row r="96" s="525" customFormat="1" x14ac:dyDescent="0.2"/>
    <row r="97" s="525" customFormat="1" x14ac:dyDescent="0.2"/>
    <row r="98" s="525" customFormat="1" x14ac:dyDescent="0.2"/>
    <row r="99" s="525" customFormat="1" x14ac:dyDescent="0.2"/>
    <row r="100" s="525" customFormat="1" x14ac:dyDescent="0.2"/>
    <row r="101" s="525" customFormat="1" x14ac:dyDescent="0.2"/>
    <row r="102" s="525" customFormat="1" x14ac:dyDescent="0.2"/>
    <row r="103" s="525" customFormat="1" x14ac:dyDescent="0.2"/>
    <row r="104" s="525" customFormat="1" x14ac:dyDescent="0.2"/>
    <row r="105" s="525" customFormat="1" x14ac:dyDescent="0.2"/>
    <row r="106" s="525" customFormat="1" x14ac:dyDescent="0.2"/>
    <row r="107" s="525" customFormat="1" x14ac:dyDescent="0.2"/>
    <row r="108" s="525" customFormat="1" x14ac:dyDescent="0.2"/>
    <row r="109" s="525" customFormat="1" x14ac:dyDescent="0.2"/>
    <row r="110" s="525" customFormat="1" x14ac:dyDescent="0.2"/>
    <row r="111" s="525" customFormat="1" x14ac:dyDescent="0.2"/>
    <row r="112" s="525" customFormat="1" x14ac:dyDescent="0.2"/>
    <row r="113" s="525" customFormat="1" x14ac:dyDescent="0.2"/>
    <row r="114" s="525" customFormat="1" x14ac:dyDescent="0.2"/>
    <row r="115" s="525" customFormat="1" x14ac:dyDescent="0.2"/>
    <row r="116" s="525" customFormat="1" x14ac:dyDescent="0.2"/>
    <row r="117" s="525" customFormat="1" x14ac:dyDescent="0.2"/>
    <row r="118" s="525" customFormat="1" x14ac:dyDescent="0.2"/>
    <row r="119" s="525" customFormat="1" x14ac:dyDescent="0.2"/>
    <row r="120" s="525" customFormat="1" x14ac:dyDescent="0.2"/>
    <row r="121" s="525" customFormat="1" x14ac:dyDescent="0.2"/>
    <row r="122" s="525" customFormat="1" x14ac:dyDescent="0.2"/>
    <row r="123" s="525" customFormat="1" x14ac:dyDescent="0.2"/>
    <row r="124" s="525" customFormat="1" x14ac:dyDescent="0.2"/>
    <row r="125" s="525" customFormat="1" x14ac:dyDescent="0.2"/>
    <row r="126" s="525" customFormat="1" x14ac:dyDescent="0.2"/>
    <row r="127" s="525" customFormat="1" x14ac:dyDescent="0.2"/>
    <row r="128" s="525" customFormat="1" x14ac:dyDescent="0.2"/>
    <row r="129" s="525" customFormat="1" x14ac:dyDescent="0.2"/>
    <row r="130" s="525" customFormat="1" x14ac:dyDescent="0.2"/>
    <row r="131" s="525" customFormat="1" x14ac:dyDescent="0.2"/>
    <row r="132" s="525" customFormat="1" x14ac:dyDescent="0.2"/>
    <row r="133" s="525" customFormat="1" x14ac:dyDescent="0.2"/>
    <row r="134" s="525" customFormat="1" x14ac:dyDescent="0.2"/>
    <row r="135" s="525" customFormat="1" x14ac:dyDescent="0.2"/>
    <row r="136" s="525" customFormat="1" x14ac:dyDescent="0.2"/>
    <row r="137" s="525" customFormat="1" x14ac:dyDescent="0.2"/>
    <row r="138" s="525" customFormat="1" x14ac:dyDescent="0.2"/>
    <row r="139" s="525" customFormat="1" x14ac:dyDescent="0.2"/>
    <row r="140" s="525" customFormat="1" x14ac:dyDescent="0.2"/>
    <row r="141" s="525" customFormat="1" x14ac:dyDescent="0.2"/>
    <row r="142" s="525" customFormat="1" x14ac:dyDescent="0.2"/>
    <row r="143" s="525" customFormat="1" x14ac:dyDescent="0.2"/>
    <row r="144" s="525" customFormat="1" x14ac:dyDescent="0.2"/>
    <row r="145" s="525" customFormat="1" x14ac:dyDescent="0.2"/>
    <row r="146" s="525" customFormat="1" x14ac:dyDescent="0.2"/>
    <row r="147" s="525" customFormat="1" x14ac:dyDescent="0.2"/>
    <row r="148" s="525" customFormat="1" x14ac:dyDescent="0.2"/>
    <row r="149" s="525" customFormat="1" x14ac:dyDescent="0.2"/>
    <row r="150" s="525" customFormat="1" x14ac:dyDescent="0.2"/>
    <row r="151" s="525" customFormat="1" x14ac:dyDescent="0.2"/>
    <row r="152" s="525" customFormat="1" x14ac:dyDescent="0.2"/>
    <row r="153" s="525" customFormat="1" x14ac:dyDescent="0.2"/>
    <row r="154" s="525" customFormat="1" x14ac:dyDescent="0.2"/>
    <row r="155" s="525" customFormat="1" x14ac:dyDescent="0.2"/>
    <row r="156" s="525" customFormat="1" x14ac:dyDescent="0.2"/>
    <row r="157" s="525" customFormat="1" x14ac:dyDescent="0.2"/>
    <row r="158" s="525" customFormat="1" x14ac:dyDescent="0.2"/>
    <row r="159" s="525" customFormat="1" x14ac:dyDescent="0.2"/>
    <row r="160" s="525" customFormat="1" x14ac:dyDescent="0.2"/>
    <row r="161" s="525" customFormat="1" x14ac:dyDescent="0.2"/>
    <row r="162" s="525" customFormat="1" x14ac:dyDescent="0.2"/>
    <row r="163" s="525" customFormat="1" x14ac:dyDescent="0.2"/>
    <row r="164" s="525" customFormat="1" x14ac:dyDescent="0.2"/>
    <row r="165" s="525" customFormat="1" x14ac:dyDescent="0.2"/>
    <row r="166" s="525" customFormat="1" x14ac:dyDescent="0.2"/>
  </sheetData>
  <mergeCells count="3">
    <mergeCell ref="A5:G5"/>
    <mergeCell ref="A6:G6"/>
    <mergeCell ref="A7:G7"/>
  </mergeCells>
  <hyperlinks>
    <hyperlink ref="A13" r:id="rId1" display="mailto:joubert.nadia@ccmsa.msa.fr" xr:uid="{46680D0F-18BF-44B5-AC21-46A40A6DEE94}"/>
    <hyperlink ref="A17" r:id="rId2" xr:uid="{7C43FF78-0A74-4B80-88CD-96B552325D33}"/>
    <hyperlink ref="A24" r:id="rId3" xr:uid="{1B31C527-564F-423F-BB76-B397021BC6ED}"/>
    <hyperlink ref="A21" r:id="rId4" xr:uid="{A5422ED6-6C0B-416E-AD11-1FD7BF05A23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9"/>
  <dimension ref="A1:E13"/>
  <sheetViews>
    <sheetView workbookViewId="0">
      <selection activeCell="A23" sqref="A23"/>
    </sheetView>
  </sheetViews>
  <sheetFormatPr baseColWidth="10" defaultRowHeight="12.75" x14ac:dyDescent="0.2"/>
  <cols>
    <col min="1" max="1" width="81" bestFit="1" customWidth="1"/>
    <col min="4" max="4" width="13.85546875" style="243" bestFit="1" customWidth="1"/>
    <col min="5" max="5" width="17" style="243" customWidth="1"/>
  </cols>
  <sheetData>
    <row r="1" spans="1:5" ht="25.5" x14ac:dyDescent="0.2">
      <c r="A1" s="251" t="s">
        <v>142</v>
      </c>
      <c r="B1" s="250">
        <v>2015</v>
      </c>
      <c r="C1" s="250">
        <v>2016</v>
      </c>
      <c r="D1" s="252" t="s">
        <v>111</v>
      </c>
      <c r="E1" s="251" t="s">
        <v>139</v>
      </c>
    </row>
    <row r="2" spans="1:5" x14ac:dyDescent="0.2">
      <c r="A2" s="255" t="s">
        <v>124</v>
      </c>
      <c r="B2" s="256">
        <v>100.40417825</v>
      </c>
      <c r="C2" s="256">
        <v>0</v>
      </c>
      <c r="D2" s="257">
        <f t="shared" ref="D2:D10" si="0">C2/$C$11</f>
        <v>0</v>
      </c>
      <c r="E2" s="264" t="s">
        <v>140</v>
      </c>
    </row>
    <row r="3" spans="1:5" x14ac:dyDescent="0.2">
      <c r="A3" s="258" t="s">
        <v>130</v>
      </c>
      <c r="B3" s="259">
        <v>15.04352967</v>
      </c>
      <c r="C3" s="259">
        <v>0</v>
      </c>
      <c r="D3" s="260">
        <f t="shared" si="0"/>
        <v>0</v>
      </c>
      <c r="E3" s="265" t="s">
        <v>140</v>
      </c>
    </row>
    <row r="4" spans="1:5" x14ac:dyDescent="0.2">
      <c r="A4" s="258" t="s">
        <v>131</v>
      </c>
      <c r="B4" s="259">
        <v>115.77636389</v>
      </c>
      <c r="C4" s="259">
        <v>105.69936294000001</v>
      </c>
      <c r="D4" s="260">
        <f t="shared" si="0"/>
        <v>8.1296778490534072E-2</v>
      </c>
      <c r="E4" s="266">
        <v>-8.7038499149742043E-2</v>
      </c>
    </row>
    <row r="5" spans="1:5" x14ac:dyDescent="0.2">
      <c r="A5" s="258" t="s">
        <v>132</v>
      </c>
      <c r="B5" s="259">
        <v>952.56898638999996</v>
      </c>
      <c r="C5" s="259">
        <v>935.21756369000002</v>
      </c>
      <c r="D5" s="260">
        <f t="shared" si="0"/>
        <v>0.71930589741511697</v>
      </c>
      <c r="E5" s="266">
        <v>-1.821539746507761E-2</v>
      </c>
    </row>
    <row r="6" spans="1:5" x14ac:dyDescent="0.2">
      <c r="A6" s="258" t="s">
        <v>134</v>
      </c>
      <c r="B6" s="259">
        <v>158.633747</v>
      </c>
      <c r="C6" s="259">
        <v>141.876791</v>
      </c>
      <c r="D6" s="260">
        <f t="shared" si="0"/>
        <v>0.10912200159070132</v>
      </c>
      <c r="E6" s="266">
        <v>-0.10563298362989559</v>
      </c>
    </row>
    <row r="7" spans="1:5" x14ac:dyDescent="0.2">
      <c r="A7" s="258" t="s">
        <v>138</v>
      </c>
      <c r="B7" s="259">
        <v>63.089046169999996</v>
      </c>
      <c r="C7" s="259">
        <v>62.692565159999994</v>
      </c>
      <c r="D7" s="260">
        <f t="shared" si="0"/>
        <v>4.8218867560337372E-2</v>
      </c>
      <c r="E7" s="266">
        <v>-6.2844667033266077E-3</v>
      </c>
    </row>
    <row r="8" spans="1:5" x14ac:dyDescent="0.2">
      <c r="A8" s="258" t="s">
        <v>133</v>
      </c>
      <c r="B8" s="259">
        <v>2.3867078099999999</v>
      </c>
      <c r="C8" s="259">
        <v>2.7880174800000002</v>
      </c>
      <c r="D8" s="260">
        <f t="shared" si="0"/>
        <v>2.1443538844028625E-3</v>
      </c>
      <c r="E8" s="266">
        <v>0.1681436111779433</v>
      </c>
    </row>
    <row r="9" spans="1:5" x14ac:dyDescent="0.2">
      <c r="A9" s="258" t="s">
        <v>135</v>
      </c>
      <c r="B9" s="259">
        <v>70.495715000000004</v>
      </c>
      <c r="C9" s="259">
        <v>51.603861000000002</v>
      </c>
      <c r="D9" s="260">
        <f t="shared" si="0"/>
        <v>3.9690188666082322E-2</v>
      </c>
      <c r="E9" s="266">
        <v>-0.26798584850157203</v>
      </c>
    </row>
    <row r="10" spans="1:5" x14ac:dyDescent="0.2">
      <c r="A10" s="261" t="s">
        <v>136</v>
      </c>
      <c r="B10" s="262">
        <v>0</v>
      </c>
      <c r="C10" s="262">
        <v>0.28852310000000003</v>
      </c>
      <c r="D10" s="263">
        <f t="shared" si="0"/>
        <v>2.2191239282508214E-4</v>
      </c>
      <c r="E10" s="267" t="s">
        <v>141</v>
      </c>
    </row>
    <row r="11" spans="1:5" x14ac:dyDescent="0.2">
      <c r="A11" s="191" t="s">
        <v>137</v>
      </c>
      <c r="B11" s="253">
        <f>SUM(B2:B10)</f>
        <v>1478.39827418</v>
      </c>
      <c r="C11" s="253">
        <f>SUM(C2:C10)</f>
        <v>1300.16668437</v>
      </c>
      <c r="D11" s="254">
        <f>SUM(D2:D10)</f>
        <v>0.99999999999999989</v>
      </c>
      <c r="E11" s="268">
        <v>-0.12055722258527191</v>
      </c>
    </row>
    <row r="12" spans="1:5" x14ac:dyDescent="0.2">
      <c r="B12" s="10" t="b">
        <f>B11='%charges'!B3</f>
        <v>0</v>
      </c>
      <c r="C12" s="10" t="b">
        <f>C11='%charges'!C3</f>
        <v>0</v>
      </c>
    </row>
    <row r="13" spans="1:5" x14ac:dyDescent="0.2">
      <c r="B13" s="10"/>
      <c r="C13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indexed="29"/>
  </sheetPr>
  <dimension ref="A1:AC115"/>
  <sheetViews>
    <sheetView zoomScaleNormal="100" workbookViewId="0"/>
  </sheetViews>
  <sheetFormatPr baseColWidth="10" defaultRowHeight="12.75" x14ac:dyDescent="0.2"/>
  <cols>
    <col min="1" max="1" width="46.42578125" style="121" customWidth="1"/>
    <col min="2" max="2" width="9.28515625" style="126" bestFit="1" customWidth="1"/>
    <col min="3" max="3" width="12" style="126" bestFit="1" customWidth="1"/>
    <col min="4" max="4" width="8.5703125" style="118" customWidth="1"/>
    <col min="5" max="5" width="8.5703125" style="119" customWidth="1"/>
    <col min="6" max="8" width="6.140625" style="124" customWidth="1"/>
    <col min="9" max="9" width="6.140625" style="125" customWidth="1"/>
    <col min="10" max="10" width="9" style="126" bestFit="1" customWidth="1"/>
    <col min="11" max="11" width="8.28515625" style="118" customWidth="1"/>
    <col min="12" max="12" width="8.28515625" style="119" customWidth="1"/>
    <col min="13" max="13" width="5.28515625" style="105" customWidth="1"/>
    <col min="14" max="14" width="43.140625" customWidth="1"/>
    <col min="15" max="15" width="9.85546875" style="153" bestFit="1" customWidth="1"/>
    <col min="16" max="16" width="10" style="153" bestFit="1" customWidth="1"/>
    <col min="17" max="17" width="7.85546875" style="154" bestFit="1" customWidth="1"/>
    <col min="18" max="18" width="7.85546875" style="154" customWidth="1"/>
    <col min="19" max="19" width="8.85546875" style="148" bestFit="1" customWidth="1"/>
    <col min="20" max="21" width="6.28515625" style="148" customWidth="1"/>
    <col min="22" max="22" width="6.28515625" style="149" customWidth="1"/>
    <col min="23" max="23" width="8.28515625" style="153" customWidth="1"/>
    <col min="24" max="24" width="8.28515625" style="150" bestFit="1" customWidth="1"/>
    <col min="25" max="25" width="8.28515625" style="4" customWidth="1"/>
  </cols>
  <sheetData>
    <row r="1" spans="1:25" s="30" customFormat="1" x14ac:dyDescent="0.2">
      <c r="A1" s="13"/>
      <c r="B1" s="14"/>
      <c r="C1" s="14"/>
      <c r="D1" s="14"/>
      <c r="E1" s="15"/>
      <c r="F1" s="16"/>
      <c r="G1" s="17"/>
      <c r="H1" s="17"/>
      <c r="I1" s="18"/>
      <c r="J1" s="14"/>
      <c r="K1" s="19"/>
      <c r="L1" s="20"/>
      <c r="M1" s="21"/>
      <c r="N1" s="22"/>
      <c r="O1" s="23"/>
      <c r="P1" s="23"/>
      <c r="Q1" s="24"/>
      <c r="R1" s="297"/>
      <c r="S1" s="25"/>
      <c r="T1" s="25"/>
      <c r="U1" s="26"/>
      <c r="V1" s="27"/>
      <c r="W1" s="23"/>
      <c r="X1" s="28"/>
      <c r="Y1" s="29"/>
    </row>
    <row r="2" spans="1:25" ht="11.25" customHeight="1" x14ac:dyDescent="0.2">
      <c r="A2" s="495" t="s">
        <v>0</v>
      </c>
      <c r="B2" s="504" t="s">
        <v>24</v>
      </c>
      <c r="C2" s="505"/>
      <c r="D2" s="506"/>
      <c r="E2" s="507"/>
      <c r="F2" s="500" t="s">
        <v>25</v>
      </c>
      <c r="G2" s="500"/>
      <c r="H2" s="500"/>
      <c r="I2" s="500"/>
      <c r="J2" s="503" t="s">
        <v>26</v>
      </c>
      <c r="K2" s="503"/>
      <c r="L2" s="503"/>
      <c r="M2" s="31"/>
      <c r="N2" s="32"/>
      <c r="O2" s="504" t="s">
        <v>24</v>
      </c>
      <c r="P2" s="505"/>
      <c r="Q2" s="508"/>
      <c r="R2" s="507"/>
      <c r="S2" s="501" t="s">
        <v>25</v>
      </c>
      <c r="T2" s="502"/>
      <c r="U2" s="502"/>
      <c r="V2" s="502"/>
      <c r="W2" s="497" t="s">
        <v>26</v>
      </c>
      <c r="X2" s="498"/>
      <c r="Y2" s="499"/>
    </row>
    <row r="3" spans="1:25" s="44" customFormat="1" x14ac:dyDescent="0.2">
      <c r="A3" s="496"/>
      <c r="B3" s="33">
        <v>2020</v>
      </c>
      <c r="C3" s="33">
        <f>B3+1</f>
        <v>2021</v>
      </c>
      <c r="D3" s="33">
        <f>C3+1</f>
        <v>2022</v>
      </c>
      <c r="E3" s="34">
        <f>D3+1</f>
        <v>2023</v>
      </c>
      <c r="F3" s="35">
        <f>B3</f>
        <v>2020</v>
      </c>
      <c r="G3" s="35">
        <f>F3+1</f>
        <v>2021</v>
      </c>
      <c r="H3" s="35">
        <f>G3+1</f>
        <v>2022</v>
      </c>
      <c r="I3" s="36">
        <f>H3+1</f>
        <v>2023</v>
      </c>
      <c r="J3" s="37">
        <f>G3</f>
        <v>2021</v>
      </c>
      <c r="K3" s="37">
        <f>H3</f>
        <v>2022</v>
      </c>
      <c r="L3" s="38">
        <f>I3</f>
        <v>2023</v>
      </c>
      <c r="M3" s="39"/>
      <c r="N3" s="40" t="s">
        <v>2</v>
      </c>
      <c r="O3" s="33">
        <f>B3</f>
        <v>2020</v>
      </c>
      <c r="P3" s="33">
        <f>C3</f>
        <v>2021</v>
      </c>
      <c r="Q3" s="163">
        <f>D3</f>
        <v>2022</v>
      </c>
      <c r="R3" s="34">
        <f>E3</f>
        <v>2023</v>
      </c>
      <c r="S3" s="41">
        <f>O3</f>
        <v>2020</v>
      </c>
      <c r="T3" s="41">
        <f>P3</f>
        <v>2021</v>
      </c>
      <c r="U3" s="42">
        <f>Q3</f>
        <v>2022</v>
      </c>
      <c r="V3" s="43">
        <f>R3</f>
        <v>2023</v>
      </c>
      <c r="W3" s="41">
        <f>T3</f>
        <v>2021</v>
      </c>
      <c r="X3" s="42">
        <f>U3</f>
        <v>2022</v>
      </c>
      <c r="Y3" s="43">
        <f>V3</f>
        <v>2023</v>
      </c>
    </row>
    <row r="4" spans="1:25" ht="9.9499999999999993" customHeight="1" x14ac:dyDescent="0.2">
      <c r="A4" s="45"/>
      <c r="B4" s="46"/>
      <c r="C4" s="47"/>
      <c r="D4" s="47"/>
      <c r="E4" s="48"/>
      <c r="F4" s="49"/>
      <c r="G4" s="49"/>
      <c r="H4" s="49"/>
      <c r="I4" s="50"/>
      <c r="J4" s="51"/>
      <c r="K4" s="51"/>
      <c r="L4" s="52"/>
      <c r="M4" s="53"/>
      <c r="N4" s="54"/>
      <c r="O4" s="55"/>
      <c r="P4" s="55"/>
      <c r="Q4" s="47"/>
      <c r="R4" s="48"/>
      <c r="S4" s="56"/>
      <c r="T4" s="56"/>
      <c r="U4" s="56"/>
      <c r="V4" s="57"/>
      <c r="W4" s="58"/>
      <c r="X4" s="167"/>
      <c r="Y4" s="59"/>
    </row>
    <row r="5" spans="1:25" s="73" customFormat="1" ht="12" x14ac:dyDescent="0.2">
      <c r="A5" s="60" t="s">
        <v>27</v>
      </c>
      <c r="B5" s="164">
        <f>SUM(B7:B12)</f>
        <v>14933.744695000001</v>
      </c>
      <c r="C5" s="164">
        <f>SUM(C7:C12)</f>
        <v>13955.421389370002</v>
      </c>
      <c r="D5" s="164">
        <f>SUM(D7:D12)</f>
        <v>14532.048040860001</v>
      </c>
      <c r="E5" s="62">
        <f>SUM(E7:E11)</f>
        <v>14619.566345620002</v>
      </c>
      <c r="F5" s="63">
        <f>B5/$B$57</f>
        <v>0.80982370409304683</v>
      </c>
      <c r="G5" s="63">
        <f>C5/$C$57</f>
        <v>0.86482762463237051</v>
      </c>
      <c r="H5" s="63">
        <f>D5/$D$57</f>
        <v>0.87233345584304312</v>
      </c>
      <c r="I5" s="64">
        <f>E5/$E$57</f>
        <v>0.87854584416597059</v>
      </c>
      <c r="J5" s="65">
        <f>C5/B5-1</f>
        <v>-6.5510916760051052E-2</v>
      </c>
      <c r="K5" s="65">
        <f>D5/C5-1</f>
        <v>4.1319185956593341E-2</v>
      </c>
      <c r="L5" s="66">
        <f>E5/D5-1</f>
        <v>6.022434313038616E-3</v>
      </c>
      <c r="M5" s="67"/>
      <c r="N5" s="68" t="s">
        <v>28</v>
      </c>
      <c r="O5" s="61">
        <f>SUM(O6:O10)</f>
        <v>2471.6977833599999</v>
      </c>
      <c r="P5" s="61">
        <f>SUM(P6:P10)</f>
        <v>2496.1693006199998</v>
      </c>
      <c r="Q5" s="164">
        <f>SUM(Q6:Q10)</f>
        <v>2547.4768420800001</v>
      </c>
      <c r="R5" s="61">
        <f>SUM(R6:R10)</f>
        <v>2953.8906554199993</v>
      </c>
      <c r="S5" s="63">
        <f>O5/$O$75</f>
        <v>0.13406080360281394</v>
      </c>
      <c r="T5" s="63">
        <f>P5/$P$75</f>
        <v>0.14966638362109405</v>
      </c>
      <c r="U5" s="63">
        <f>Q5/$P$75</f>
        <v>0.15274270307622886</v>
      </c>
      <c r="V5" s="70">
        <f>R5/$R$75</f>
        <v>0.17585104955984729</v>
      </c>
      <c r="W5" s="65">
        <f t="shared" ref="W5:Y10" si="0">P5/O5-1</f>
        <v>9.9006915104054016E-3</v>
      </c>
      <c r="X5" s="71">
        <f t="shared" si="0"/>
        <v>2.0554511846314405E-2</v>
      </c>
      <c r="Y5" s="72">
        <f t="shared" si="0"/>
        <v>0.15953582251533427</v>
      </c>
    </row>
    <row r="6" spans="1:25" x14ac:dyDescent="0.2">
      <c r="A6" s="74" t="s">
        <v>29</v>
      </c>
      <c r="B6" s="75"/>
      <c r="C6" s="76"/>
      <c r="D6" s="76"/>
      <c r="E6" s="325"/>
      <c r="F6" s="77"/>
      <c r="G6" s="77"/>
      <c r="H6" s="77"/>
      <c r="I6" s="78"/>
      <c r="J6" s="51"/>
      <c r="K6" s="51"/>
      <c r="L6" s="52"/>
      <c r="M6" s="79"/>
      <c r="N6" s="195" t="s">
        <v>102</v>
      </c>
      <c r="O6" s="314">
        <f>'[1]COMPTES NSA OK'!S6+'[1]COMPTES NSA OK'!S7</f>
        <v>523.02488589999996</v>
      </c>
      <c r="P6" s="314">
        <f>'[1]COMPTES NSA OK'!T6+'[1]COMPTES NSA OK'!T7</f>
        <v>535.97625168000002</v>
      </c>
      <c r="Q6" s="314">
        <f>'[1]COMPTES NSA OK'!U6+'[1]COMPTES NSA OK'!U7</f>
        <v>525.98483691000001</v>
      </c>
      <c r="R6" s="329">
        <f>'[1]COMPTES NSA OK'!V6+'[1]COMPTES NSA OK'!V7</f>
        <v>647.41797057999997</v>
      </c>
      <c r="S6" s="77">
        <f>O6/$O$5</f>
        <v>0.21160551642725731</v>
      </c>
      <c r="T6" s="77">
        <f>P6/$P$5</f>
        <v>0.21471951103111234</v>
      </c>
      <c r="U6" s="83">
        <f>Q6/$Q$5</f>
        <v>0.20647286296056627</v>
      </c>
      <c r="V6" s="84">
        <f>R6/$R$5</f>
        <v>0.21917465678429007</v>
      </c>
      <c r="W6" s="51">
        <f t="shared" si="0"/>
        <v>2.4762427427738709E-2</v>
      </c>
      <c r="X6" s="85">
        <f t="shared" si="0"/>
        <v>-1.8641525139746817E-2</v>
      </c>
      <c r="Y6" s="86">
        <f t="shared" si="0"/>
        <v>0.2308681261296095</v>
      </c>
    </row>
    <row r="7" spans="1:25" x14ac:dyDescent="0.2">
      <c r="A7" s="194" t="s">
        <v>101</v>
      </c>
      <c r="B7" s="314">
        <f>'[1]COMPTES NSA OK'!C7+'[1]COMPTES NSA OK'!C8</f>
        <v>6852.1266489100008</v>
      </c>
      <c r="C7" s="314">
        <f>'[1]COMPTES NSA OK'!D7+'[1]COMPTES NSA OK'!D8</f>
        <v>6029.4717143800008</v>
      </c>
      <c r="D7" s="314">
        <f>'[1]COMPTES NSA OK'!E7+'[1]COMPTES NSA OK'!E8</f>
        <v>6153.3951836000006</v>
      </c>
      <c r="E7" s="329">
        <f>'[1]COMPTES NSA OK'!F7+'[1]COMPTES NSA OK'!F8</f>
        <v>6212.3743964500009</v>
      </c>
      <c r="F7" s="77">
        <f t="shared" ref="F7:F11" si="1">B7/$B$5</f>
        <v>0.45883512734780957</v>
      </c>
      <c r="G7" s="77">
        <f>C7/$C$5</f>
        <v>0.43205228607232998</v>
      </c>
      <c r="H7" s="77">
        <f>D7/$D$5</f>
        <v>0.42343619882747408</v>
      </c>
      <c r="I7" s="78">
        <f>E7/$E$5</f>
        <v>0.42493561365527222</v>
      </c>
      <c r="J7" s="51">
        <f>(C7-B7)/B7</f>
        <v>-0.12005833760542992</v>
      </c>
      <c r="K7" s="51">
        <f t="shared" ref="K7:L11" si="2">D7/C7-1</f>
        <v>2.0552956393252275E-2</v>
      </c>
      <c r="L7" s="52">
        <f>E7/D7-1</f>
        <v>9.5848244896072909E-3</v>
      </c>
      <c r="M7" s="87"/>
      <c r="N7" s="80" t="s">
        <v>30</v>
      </c>
      <c r="O7" s="314">
        <v>92.196879420000002</v>
      </c>
      <c r="P7" s="314">
        <v>92.997496979999994</v>
      </c>
      <c r="Q7" s="314">
        <v>104.52643218999999</v>
      </c>
      <c r="R7" s="301">
        <v>149.38287507999999</v>
      </c>
      <c r="S7" s="77">
        <f>O7/$O$5</f>
        <v>3.7301032529417306E-2</v>
      </c>
      <c r="T7" s="77">
        <f>P7/$P$5</f>
        <v>3.7256085537507901E-2</v>
      </c>
      <c r="U7" s="83">
        <f>Q7/$Q$5</f>
        <v>4.1031357170122407E-2</v>
      </c>
      <c r="V7" s="84">
        <f>R7/$R$5</f>
        <v>5.0571565608192752E-2</v>
      </c>
      <c r="W7" s="51">
        <f t="shared" si="0"/>
        <v>8.6837815448481681E-3</v>
      </c>
      <c r="X7" s="85">
        <f t="shared" si="0"/>
        <v>0.1239703818316682</v>
      </c>
      <c r="Y7" s="86">
        <f t="shared" si="0"/>
        <v>0.4291397108863666</v>
      </c>
    </row>
    <row r="8" spans="1:25" x14ac:dyDescent="0.2">
      <c r="A8" s="45" t="s">
        <v>31</v>
      </c>
      <c r="B8" s="314">
        <v>128.30564326000001</v>
      </c>
      <c r="C8" s="314">
        <v>130.88713758999998</v>
      </c>
      <c r="D8" s="314">
        <v>133.93270525</v>
      </c>
      <c r="E8" s="301">
        <v>139.57598433999999</v>
      </c>
      <c r="F8" s="77">
        <f t="shared" si="1"/>
        <v>8.5916590835357111E-3</v>
      </c>
      <c r="G8" s="77">
        <f t="shared" ref="G8:G11" si="3">C8/$C$5</f>
        <v>9.3789455680426924E-3</v>
      </c>
      <c r="H8" s="77">
        <f t="shared" ref="H8:H11" si="4">D8/$D$5</f>
        <v>9.2163681866051627E-3</v>
      </c>
      <c r="I8" s="78">
        <f t="shared" ref="I8:I11" si="5">E8/$E$5</f>
        <v>9.5472041400062949E-3</v>
      </c>
      <c r="J8" s="51">
        <f>(C8-B8)/B8</f>
        <v>2.0119881436304405E-2</v>
      </c>
      <c r="K8" s="51">
        <f t="shared" si="2"/>
        <v>2.3268655087715029E-2</v>
      </c>
      <c r="L8" s="52">
        <f t="shared" si="2"/>
        <v>4.213518333304922E-2</v>
      </c>
      <c r="M8" s="87"/>
      <c r="N8" s="80" t="s">
        <v>32</v>
      </c>
      <c r="O8" s="314">
        <v>196.52981351</v>
      </c>
      <c r="P8" s="314">
        <v>192.04944559</v>
      </c>
      <c r="Q8" s="314">
        <v>188.27458577999997</v>
      </c>
      <c r="R8" s="301">
        <v>209.9534434</v>
      </c>
      <c r="S8" s="77">
        <f>O8/$O$5</f>
        <v>7.9512072565295355E-2</v>
      </c>
      <c r="T8" s="77">
        <f>P8/$P$5</f>
        <v>7.6937668267252013E-2</v>
      </c>
      <c r="U8" s="83">
        <f>Q8/$Q$5</f>
        <v>7.3906299233038306E-2</v>
      </c>
      <c r="V8" s="84">
        <f>R8/$R$5</f>
        <v>7.1076917832000028E-2</v>
      </c>
      <c r="W8" s="51">
        <f t="shared" si="0"/>
        <v>-2.2797395672346732E-2</v>
      </c>
      <c r="X8" s="85">
        <f t="shared" si="0"/>
        <v>-1.9655666270752326E-2</v>
      </c>
      <c r="Y8" s="86">
        <f t="shared" si="0"/>
        <v>0.11514489611110812</v>
      </c>
    </row>
    <row r="9" spans="1:25" x14ac:dyDescent="0.2">
      <c r="A9" s="45" t="s">
        <v>33</v>
      </c>
      <c r="B9" s="314">
        <v>383.15208672999995</v>
      </c>
      <c r="C9" s="314">
        <v>385.73411167000006</v>
      </c>
      <c r="D9" s="314">
        <v>503.27378791000001</v>
      </c>
      <c r="E9" s="301">
        <v>532.73861280999995</v>
      </c>
      <c r="F9" s="77">
        <f t="shared" si="1"/>
        <v>2.5656799051766561E-2</v>
      </c>
      <c r="G9" s="77">
        <f t="shared" si="3"/>
        <v>2.7640448891340392E-2</v>
      </c>
      <c r="H9" s="77">
        <f t="shared" si="4"/>
        <v>3.4631993129594446E-2</v>
      </c>
      <c r="I9" s="78">
        <f t="shared" si="5"/>
        <v>3.6440110480404748E-2</v>
      </c>
      <c r="J9" s="51">
        <f>(C9-B9)/B9</f>
        <v>6.7389035044447369E-3</v>
      </c>
      <c r="K9" s="51">
        <f t="shared" si="2"/>
        <v>0.30471683131969529</v>
      </c>
      <c r="L9" s="52">
        <f t="shared" si="2"/>
        <v>5.8546313374200798E-2</v>
      </c>
      <c r="M9" s="87"/>
      <c r="N9" s="80" t="s">
        <v>34</v>
      </c>
      <c r="O9" s="314">
        <v>451.66341284999999</v>
      </c>
      <c r="P9" s="314">
        <v>455.01889946999995</v>
      </c>
      <c r="Q9" s="314">
        <v>470.07117010000002</v>
      </c>
      <c r="R9" s="301">
        <v>524.13102487999993</v>
      </c>
      <c r="S9" s="77">
        <f>O9/$O$5</f>
        <v>0.18273407691291996</v>
      </c>
      <c r="T9" s="77">
        <f>P9/$P$5</f>
        <v>0.18228687427450618</v>
      </c>
      <c r="U9" s="83">
        <f>Q9/$Q$5</f>
        <v>0.18452421719217263</v>
      </c>
      <c r="V9" s="84">
        <f>R9/$R$5</f>
        <v>0.17743751750535813</v>
      </c>
      <c r="W9" s="51">
        <f t="shared" si="0"/>
        <v>7.4291751878390322E-3</v>
      </c>
      <c r="X9" s="85">
        <f t="shared" si="0"/>
        <v>3.3080539396347586E-2</v>
      </c>
      <c r="Y9" s="86">
        <f t="shared" si="0"/>
        <v>0.11500355311834909</v>
      </c>
    </row>
    <row r="10" spans="1:25" ht="12.75" customHeight="1" x14ac:dyDescent="0.2">
      <c r="A10" s="45" t="s">
        <v>35</v>
      </c>
      <c r="B10" s="314">
        <v>727.03181296000002</v>
      </c>
      <c r="C10" s="314">
        <v>785.70349532</v>
      </c>
      <c r="D10" s="314">
        <v>1038.6704697499999</v>
      </c>
      <c r="E10" s="301">
        <v>1057.9384357900001</v>
      </c>
      <c r="F10" s="77">
        <f t="shared" si="1"/>
        <v>4.8683824975487837E-2</v>
      </c>
      <c r="G10" s="77">
        <f t="shared" si="3"/>
        <v>5.6300950963650516E-2</v>
      </c>
      <c r="H10" s="77">
        <f t="shared" si="4"/>
        <v>7.1474472615941878E-2</v>
      </c>
      <c r="I10" s="78">
        <f t="shared" si="5"/>
        <v>7.2364556566136232E-2</v>
      </c>
      <c r="J10" s="51">
        <f>(C10-B10)/B10</f>
        <v>8.0700295797410976E-2</v>
      </c>
      <c r="K10" s="51">
        <f t="shared" si="2"/>
        <v>0.32196238903961083</v>
      </c>
      <c r="L10" s="52">
        <f t="shared" si="2"/>
        <v>1.8550605414475507E-2</v>
      </c>
      <c r="M10" s="87"/>
      <c r="N10" s="80" t="s">
        <v>36</v>
      </c>
      <c r="O10" s="314">
        <v>1208.2827916799999</v>
      </c>
      <c r="P10" s="314">
        <v>1220.1272068999999</v>
      </c>
      <c r="Q10" s="314">
        <v>1258.6198170999999</v>
      </c>
      <c r="R10" s="301">
        <v>1423.0053414799997</v>
      </c>
      <c r="S10" s="77">
        <f>O10/$O$5</f>
        <v>0.48884730156511008</v>
      </c>
      <c r="T10" s="77">
        <f>P10/$P$5</f>
        <v>0.48879986088962157</v>
      </c>
      <c r="U10" s="83">
        <f>Q10/$Q$5</f>
        <v>0.49406526344410029</v>
      </c>
      <c r="V10" s="84">
        <f>R10/$R$5</f>
        <v>0.48173934227015913</v>
      </c>
      <c r="W10" s="51">
        <f t="shared" si="0"/>
        <v>9.8026846873582318E-3</v>
      </c>
      <c r="X10" s="85">
        <f t="shared" si="0"/>
        <v>3.154803038758458E-2</v>
      </c>
      <c r="Y10" s="86">
        <f t="shared" si="0"/>
        <v>0.13060776745019198</v>
      </c>
    </row>
    <row r="11" spans="1:25" s="73" customFormat="1" ht="12" x14ac:dyDescent="0.2">
      <c r="A11" s="45" t="s">
        <v>37</v>
      </c>
      <c r="B11" s="314">
        <v>6843.1285031400002</v>
      </c>
      <c r="C11" s="314">
        <v>6623.6249304100011</v>
      </c>
      <c r="D11" s="314">
        <v>6702.7758943499994</v>
      </c>
      <c r="E11" s="301">
        <v>6676.9389162300004</v>
      </c>
      <c r="F11" s="77">
        <f t="shared" si="1"/>
        <v>0.45823258954140034</v>
      </c>
      <c r="G11" s="77">
        <f t="shared" si="3"/>
        <v>0.47462736850463644</v>
      </c>
      <c r="H11" s="77">
        <f t="shared" si="4"/>
        <v>0.46124096724038433</v>
      </c>
      <c r="I11" s="78">
        <f t="shared" si="5"/>
        <v>0.45671251515818051</v>
      </c>
      <c r="J11" s="51">
        <f>(C11-B11)/B11</f>
        <v>-3.2076494344550011E-2</v>
      </c>
      <c r="K11" s="51">
        <f t="shared" si="2"/>
        <v>1.1949795583473533E-2</v>
      </c>
      <c r="L11" s="52">
        <f t="shared" si="2"/>
        <v>-3.854668353417301E-3</v>
      </c>
      <c r="M11" s="79"/>
      <c r="N11" s="88"/>
      <c r="O11" s="89"/>
      <c r="P11" s="89"/>
      <c r="Q11" s="89"/>
      <c r="R11" s="331"/>
      <c r="S11" s="77"/>
      <c r="T11" s="77"/>
      <c r="U11" s="83"/>
      <c r="V11" s="84"/>
      <c r="W11" s="51"/>
      <c r="X11" s="85"/>
      <c r="Y11" s="86"/>
    </row>
    <row r="12" spans="1:25" ht="12.75" customHeight="1" x14ac:dyDescent="0.2">
      <c r="A12" s="45"/>
      <c r="B12" s="81"/>
      <c r="C12" s="81"/>
      <c r="D12" s="81"/>
      <c r="E12" s="315"/>
      <c r="F12" s="77"/>
      <c r="G12" s="77"/>
      <c r="H12" s="77"/>
      <c r="I12" s="78"/>
      <c r="J12" s="51"/>
      <c r="K12" s="51"/>
      <c r="L12" s="52"/>
      <c r="M12" s="67"/>
      <c r="N12" s="68" t="s">
        <v>38</v>
      </c>
      <c r="O12" s="61">
        <f>SUM(O13:O17)</f>
        <v>43.24477461</v>
      </c>
      <c r="P12" s="61">
        <f>SUM(P13:P17)</f>
        <v>89.465566660000007</v>
      </c>
      <c r="Q12" s="61">
        <f>SUM(Q13:Q17)</f>
        <v>34.574939880000002</v>
      </c>
      <c r="R12" s="61">
        <f>SUM(R13:R17)</f>
        <v>30.481987499999999</v>
      </c>
      <c r="S12" s="63">
        <f>O12/$O$75</f>
        <v>2.3455251183492998E-3</v>
      </c>
      <c r="T12" s="63">
        <f>P12/$P$75</f>
        <v>5.3642146056713021E-3</v>
      </c>
      <c r="U12" s="63">
        <f>Q12/$P$75</f>
        <v>2.0730589926216333E-3</v>
      </c>
      <c r="V12" s="70">
        <f>R12/$R$75</f>
        <v>1.8146540003807256E-3</v>
      </c>
      <c r="W12" s="65">
        <f t="shared" ref="W12:Y17" si="6">P12/O12-1</f>
        <v>1.0688179662592536</v>
      </c>
      <c r="X12" s="71">
        <f t="shared" si="6"/>
        <v>-0.6135391394613674</v>
      </c>
      <c r="Y12" s="72">
        <f t="shared" si="6"/>
        <v>-0.11837916115560876</v>
      </c>
    </row>
    <row r="13" spans="1:25" x14ac:dyDescent="0.2">
      <c r="A13" s="60" t="s">
        <v>39</v>
      </c>
      <c r="B13" s="61">
        <f>SUM(B14:B18)</f>
        <v>1662.2335863500002</v>
      </c>
      <c r="C13" s="61">
        <f>SUM(C14:C18)</f>
        <v>490.82872564000002</v>
      </c>
      <c r="D13" s="164">
        <f>SUM(D14:D18)</f>
        <v>494.32832110999993</v>
      </c>
      <c r="E13" s="165">
        <f>SUM(E14:E18)</f>
        <v>340.02371412999997</v>
      </c>
      <c r="F13" s="63">
        <f>B13/$B$57</f>
        <v>9.0139224116809927E-2</v>
      </c>
      <c r="G13" s="63">
        <f>C13/$C$57</f>
        <v>3.0417013507016526E-2</v>
      </c>
      <c r="H13" s="63">
        <f>D13/$D$57</f>
        <v>2.9673665505544008E-2</v>
      </c>
      <c r="I13" s="64">
        <f>E13/$E$57</f>
        <v>2.0433329820093292E-2</v>
      </c>
      <c r="J13" s="65">
        <f t="shared" ref="J13:L16" si="7">C13/B13-1</f>
        <v>-0.70471735761411147</v>
      </c>
      <c r="K13" s="65">
        <f t="shared" si="7"/>
        <v>7.1299728137075302E-3</v>
      </c>
      <c r="L13" s="66">
        <f t="shared" si="7"/>
        <v>-0.31215004358543208</v>
      </c>
      <c r="M13" s="79"/>
      <c r="N13" s="80" t="str">
        <f>N6</f>
        <v>Cotisations "Maladie" + IJ AMEXA</v>
      </c>
      <c r="O13" s="314">
        <f>'[1]COMPTES NSA OK'!S14+'[1]COMPTES NSA OK'!S15</f>
        <v>20.486078039999999</v>
      </c>
      <c r="P13" s="314">
        <f>'[1]COMPTES NSA OK'!T14+'[1]COMPTES NSA OK'!T15</f>
        <v>34.698182639999999</v>
      </c>
      <c r="Q13" s="314">
        <f>'[1]COMPTES NSA OK'!U14+'[1]COMPTES NSA OK'!U15</f>
        <v>17.045271930000002</v>
      </c>
      <c r="R13" s="329">
        <f>'[1]COMPTES NSA OK'!V14+'[1]COMPTES NSA OK'!V15</f>
        <v>16.418398</v>
      </c>
      <c r="S13" s="77">
        <f>O13/$O$12</f>
        <v>0.47372377876292043</v>
      </c>
      <c r="T13" s="77">
        <f>P13/$P$12</f>
        <v>0.38783840459944835</v>
      </c>
      <c r="U13" s="83">
        <f>Q13/$Q$12</f>
        <v>0.49299498391492214</v>
      </c>
      <c r="V13" s="84">
        <f>R13/$R$12</f>
        <v>0.53862622967088347</v>
      </c>
      <c r="W13" s="51">
        <f t="shared" si="6"/>
        <v>0.69374453090778143</v>
      </c>
      <c r="X13" s="85">
        <f t="shared" si="6"/>
        <v>-0.5087560606027175</v>
      </c>
      <c r="Y13" s="86">
        <f t="shared" si="6"/>
        <v>-3.6776997901493802E-2</v>
      </c>
    </row>
    <row r="14" spans="1:25" ht="12.75" customHeight="1" x14ac:dyDescent="0.2">
      <c r="A14" s="45" t="str">
        <f>A7</f>
        <v>"Maladie-Maternité-Invalidité" + IJ AMEXA</v>
      </c>
      <c r="B14" s="314">
        <f>'[1]COMPTES NSA OK'!C15+'[1]COMPTES NSA OK'!C16</f>
        <v>1657.8487962000002</v>
      </c>
      <c r="C14" s="314">
        <f>'[1]COMPTES NSA OK'!D15+'[1]COMPTES NSA OK'!D16</f>
        <v>477.99347564000004</v>
      </c>
      <c r="D14" s="314">
        <f>'[1]COMPTES NSA OK'!E15+'[1]COMPTES NSA OK'!E16</f>
        <v>484.39312775999997</v>
      </c>
      <c r="E14" s="329">
        <f>'[1]COMPTES NSA OK'!F15+'[1]COMPTES NSA OK'!F16</f>
        <v>327.83553071</v>
      </c>
      <c r="F14" s="77">
        <f>B14/$B$13</f>
        <v>0.99736210952178606</v>
      </c>
      <c r="G14" s="77">
        <f>C14/$C$13</f>
        <v>0.97384983940525516</v>
      </c>
      <c r="H14" s="77">
        <f>D14/$D$13</f>
        <v>0.97990163030171773</v>
      </c>
      <c r="I14" s="78">
        <f>E14/$E$13</f>
        <v>0.96415490180975993</v>
      </c>
      <c r="J14" s="51">
        <f t="shared" si="7"/>
        <v>-0.71167848555572633</v>
      </c>
      <c r="K14" s="51">
        <f t="shared" si="7"/>
        <v>1.338857630102841E-2</v>
      </c>
      <c r="L14" s="52">
        <f t="shared" si="7"/>
        <v>-0.3232035883208666</v>
      </c>
      <c r="M14" s="79"/>
      <c r="N14" s="80" t="s">
        <v>30</v>
      </c>
      <c r="O14" s="314">
        <v>1.20775995</v>
      </c>
      <c r="P14" s="314">
        <v>4.3971344200000004</v>
      </c>
      <c r="Q14" s="314">
        <v>1.6763125900000002</v>
      </c>
      <c r="R14" s="301">
        <v>1.6754305300000001</v>
      </c>
      <c r="S14" s="77">
        <f>O14/$O$12</f>
        <v>2.792845981721721E-2</v>
      </c>
      <c r="T14" s="77">
        <f>P14/$P$12</f>
        <v>4.9148902579588268E-2</v>
      </c>
      <c r="U14" s="83">
        <f>Q14/$Q$12</f>
        <v>4.8483456394082386E-2</v>
      </c>
      <c r="V14" s="84">
        <f>R14/$R$12</f>
        <v>5.4964609181077845E-2</v>
      </c>
      <c r="W14" s="51">
        <f t="shared" si="6"/>
        <v>2.6407354126952134</v>
      </c>
      <c r="X14" s="85">
        <f t="shared" si="6"/>
        <v>-0.61877158397172671</v>
      </c>
      <c r="Y14" s="86">
        <f t="shared" si="6"/>
        <v>-5.2619064323800036E-4</v>
      </c>
    </row>
    <row r="15" spans="1:25" x14ac:dyDescent="0.2">
      <c r="A15" s="45" t="s">
        <v>31</v>
      </c>
      <c r="B15" s="314">
        <v>4.1213248499999997</v>
      </c>
      <c r="C15" s="314">
        <v>3.5302493899999998</v>
      </c>
      <c r="D15" s="314">
        <v>5.83903588</v>
      </c>
      <c r="E15" s="301">
        <v>5.1676696599999996</v>
      </c>
      <c r="F15" s="77">
        <f>B15/$B$13</f>
        <v>2.4793897102330675E-3</v>
      </c>
      <c r="G15" s="77">
        <f>C15/$C$13</f>
        <v>7.1924262081377709E-3</v>
      </c>
      <c r="H15" s="77">
        <f>D15/$D$13</f>
        <v>1.1812060184795024E-2</v>
      </c>
      <c r="I15" s="78">
        <f>E15/$E$13</f>
        <v>1.5197968392358258E-2</v>
      </c>
      <c r="J15" s="51">
        <f t="shared" si="7"/>
        <v>-0.14341879893306642</v>
      </c>
      <c r="K15" s="51">
        <f t="shared" si="7"/>
        <v>0.65400095997183927</v>
      </c>
      <c r="L15" s="52">
        <f t="shared" si="7"/>
        <v>-0.11497895094283961</v>
      </c>
      <c r="M15" s="79"/>
      <c r="N15" s="80" t="s">
        <v>32</v>
      </c>
      <c r="O15" s="314">
        <v>0</v>
      </c>
      <c r="P15" s="314">
        <v>0</v>
      </c>
      <c r="Q15" s="314">
        <v>0</v>
      </c>
      <c r="R15" s="301">
        <v>0</v>
      </c>
      <c r="S15" s="77">
        <f>O15/$O$12</f>
        <v>0</v>
      </c>
      <c r="T15" s="77">
        <f>P15/$P$12</f>
        <v>0</v>
      </c>
      <c r="U15" s="83">
        <f>Q15/$Q$12</f>
        <v>0</v>
      </c>
      <c r="V15" s="84">
        <f>R15/$R$12</f>
        <v>0</v>
      </c>
      <c r="W15" s="51" t="e">
        <f t="shared" si="6"/>
        <v>#DIV/0!</v>
      </c>
      <c r="X15" s="85" t="e">
        <f t="shared" si="6"/>
        <v>#DIV/0!</v>
      </c>
      <c r="Y15" s="86" t="e">
        <f t="shared" si="6"/>
        <v>#DIV/0!</v>
      </c>
    </row>
    <row r="16" spans="1:25" ht="12.75" customHeight="1" x14ac:dyDescent="0.2">
      <c r="A16" s="45" t="s">
        <v>33</v>
      </c>
      <c r="B16" s="314">
        <v>0.26346530000000001</v>
      </c>
      <c r="C16" s="314">
        <v>0.26775461</v>
      </c>
      <c r="D16" s="314">
        <v>0.26440946999999998</v>
      </c>
      <c r="E16" s="301">
        <v>0.27386776000000002</v>
      </c>
      <c r="F16" s="77">
        <f>B16/$B$13</f>
        <v>1.585007679808274E-4</v>
      </c>
      <c r="G16" s="77">
        <f>C16/$C$13</f>
        <v>5.4551536210695531E-4</v>
      </c>
      <c r="H16" s="77">
        <f>D16/$D$13</f>
        <v>5.3488634720801791E-4</v>
      </c>
      <c r="I16" s="78">
        <f>E16/$E$13</f>
        <v>8.0543723457856588E-4</v>
      </c>
      <c r="J16" s="51">
        <f t="shared" si="7"/>
        <v>1.6280360259965931E-2</v>
      </c>
      <c r="K16" s="51">
        <f t="shared" si="7"/>
        <v>-1.249330497054757E-2</v>
      </c>
      <c r="L16" s="52">
        <f t="shared" si="7"/>
        <v>3.5771373846783971E-2</v>
      </c>
      <c r="M16" s="92"/>
      <c r="N16" s="80" t="s">
        <v>34</v>
      </c>
      <c r="O16" s="314">
        <v>6.8059845399999999</v>
      </c>
      <c r="P16" s="314">
        <v>6.7770220200000004</v>
      </c>
      <c r="Q16" s="314">
        <v>1.65263761</v>
      </c>
      <c r="R16" s="301">
        <v>0</v>
      </c>
      <c r="S16" s="77">
        <f>O16/$O$5</f>
        <v>2.7535666317376455E-3</v>
      </c>
      <c r="T16" s="77">
        <f>P16/$P$5</f>
        <v>2.7149688998725848E-3</v>
      </c>
      <c r="U16" s="83">
        <f>Q16/$Q$5</f>
        <v>6.4873508669489259E-4</v>
      </c>
      <c r="V16" s="84">
        <f>R16/$R$5</f>
        <v>0</v>
      </c>
      <c r="W16" s="51">
        <f t="shared" si="6"/>
        <v>-4.2554489846078347E-3</v>
      </c>
      <c r="X16" s="85">
        <f t="shared" si="6"/>
        <v>-0.75614102992098586</v>
      </c>
      <c r="Y16" s="86">
        <f t="shared" si="6"/>
        <v>-1</v>
      </c>
    </row>
    <row r="17" spans="1:25" s="73" customFormat="1" ht="12" x14ac:dyDescent="0.2">
      <c r="A17" s="45" t="s">
        <v>35</v>
      </c>
      <c r="B17" s="314">
        <v>0</v>
      </c>
      <c r="C17" s="314">
        <v>0</v>
      </c>
      <c r="D17" s="314">
        <v>0</v>
      </c>
      <c r="E17" s="301">
        <v>0</v>
      </c>
      <c r="F17" s="77">
        <f>B17/$B$5</f>
        <v>0</v>
      </c>
      <c r="G17" s="77">
        <f>C17/$B$5</f>
        <v>0</v>
      </c>
      <c r="H17" s="77">
        <f>D17/$B$5</f>
        <v>0</v>
      </c>
      <c r="I17" s="78">
        <f>E17/$B$5</f>
        <v>0</v>
      </c>
      <c r="J17" s="51" t="e">
        <f>(C17-B17)/B17</f>
        <v>#DIV/0!</v>
      </c>
      <c r="K17" s="51" t="e">
        <f>D17/C17-1</f>
        <v>#DIV/0!</v>
      </c>
      <c r="L17" s="52" t="e">
        <f>E17/D17-1</f>
        <v>#DIV/0!</v>
      </c>
      <c r="M17" s="79"/>
      <c r="N17" s="80" t="s">
        <v>36</v>
      </c>
      <c r="O17" s="314">
        <v>14.744952079999999</v>
      </c>
      <c r="P17" s="314">
        <v>43.593227579999997</v>
      </c>
      <c r="Q17" s="314">
        <v>14.200717750000001</v>
      </c>
      <c r="R17" s="301">
        <v>12.388158969999999</v>
      </c>
      <c r="S17" s="77">
        <f>O17/$O$12</f>
        <v>0.34096494230751173</v>
      </c>
      <c r="T17" s="77">
        <f>P17/$P$12</f>
        <v>0.48726263307166306</v>
      </c>
      <c r="U17" s="83">
        <f>Q17/$Q$12</f>
        <v>0.41072284722075414</v>
      </c>
      <c r="V17" s="84">
        <f>R17/$R$12</f>
        <v>0.40640916114803866</v>
      </c>
      <c r="W17" s="51">
        <f t="shared" si="6"/>
        <v>1.9564848595967765</v>
      </c>
      <c r="X17" s="85">
        <f t="shared" si="6"/>
        <v>-0.67424486466528344</v>
      </c>
      <c r="Y17" s="86">
        <f t="shared" si="6"/>
        <v>-0.12763853291852112</v>
      </c>
    </row>
    <row r="18" spans="1:25" s="94" customFormat="1" ht="12" x14ac:dyDescent="0.2">
      <c r="A18" s="45" t="s">
        <v>37</v>
      </c>
      <c r="B18" s="314">
        <v>0</v>
      </c>
      <c r="C18" s="314">
        <v>9.0372459999999997</v>
      </c>
      <c r="D18" s="314">
        <v>3.8317480000000002</v>
      </c>
      <c r="E18" s="301">
        <v>6.7466460000000001</v>
      </c>
      <c r="F18" s="77">
        <f>B18/$B$13</f>
        <v>0</v>
      </c>
      <c r="G18" s="77">
        <f>C18/$C$13</f>
        <v>1.8412219024500204E-2</v>
      </c>
      <c r="H18" s="77">
        <f>D18/$D$13</f>
        <v>7.7514231662792876E-3</v>
      </c>
      <c r="I18" s="78">
        <f>E18/$E$13</f>
        <v>1.9841692563303336E-2</v>
      </c>
      <c r="J18" s="51" t="e">
        <f>C18/B18-1</f>
        <v>#DIV/0!</v>
      </c>
      <c r="K18" s="51">
        <f>D18/C18-1</f>
        <v>-0.57600490237844582</v>
      </c>
      <c r="L18" s="52">
        <f>E18/D18-1</f>
        <v>0.76072278239591951</v>
      </c>
      <c r="M18" s="92"/>
      <c r="N18" s="93"/>
      <c r="O18" s="91"/>
      <c r="P18" s="91"/>
      <c r="Q18" s="91"/>
      <c r="R18" s="326"/>
      <c r="S18" s="77"/>
      <c r="T18" s="77"/>
      <c r="U18" s="83"/>
      <c r="V18" s="84"/>
      <c r="W18" s="51"/>
      <c r="X18" s="85"/>
      <c r="Y18" s="86"/>
    </row>
    <row r="19" spans="1:25" s="94" customFormat="1" ht="12" x14ac:dyDescent="0.2">
      <c r="A19" s="45"/>
      <c r="B19" s="295"/>
      <c r="C19" s="295"/>
      <c r="D19" s="295"/>
      <c r="E19" s="315"/>
      <c r="F19" s="77"/>
      <c r="G19" s="77"/>
      <c r="H19" s="77"/>
      <c r="I19" s="78"/>
      <c r="J19" s="51"/>
      <c r="K19" s="51"/>
      <c r="L19" s="52"/>
      <c r="M19" s="79"/>
      <c r="N19" s="68" t="s">
        <v>21</v>
      </c>
      <c r="O19" s="61">
        <f t="shared" ref="O19:Q19" si="8">SUM(O20:O24)</f>
        <v>583.74474866000003</v>
      </c>
      <c r="P19" s="61">
        <f t="shared" si="8"/>
        <v>423.79147576000003</v>
      </c>
      <c r="Q19" s="61">
        <f t="shared" si="8"/>
        <v>438.55704474999999</v>
      </c>
      <c r="R19" s="61">
        <f>SUM(R20:R24)</f>
        <v>508.80796943000001</v>
      </c>
      <c r="S19" s="63">
        <f>O19/$O$75</f>
        <v>3.1661350603268384E-2</v>
      </c>
      <c r="T19" s="63">
        <f>P19/$P$75</f>
        <v>2.5409870063978282E-2</v>
      </c>
      <c r="U19" s="63">
        <f>Q19/$P$75</f>
        <v>2.629519034745912E-2</v>
      </c>
      <c r="V19" s="70">
        <f>R19/$R$75</f>
        <v>3.0290361386433332E-2</v>
      </c>
      <c r="W19" s="65">
        <f t="shared" ref="W19:Y24" si="9">P19/O19-1</f>
        <v>-0.27401235431612281</v>
      </c>
      <c r="X19" s="71">
        <f t="shared" si="9"/>
        <v>3.4841590344686368E-2</v>
      </c>
      <c r="Y19" s="72">
        <f t="shared" si="9"/>
        <v>0.16018651512039139</v>
      </c>
    </row>
    <row r="20" spans="1:25" s="97" customFormat="1" ht="12.75" customHeight="1" x14ac:dyDescent="0.2">
      <c r="A20" s="60" t="s">
        <v>40</v>
      </c>
      <c r="B20" s="165">
        <f t="shared" ref="B20:C20" si="10">SUM(B21:B26)</f>
        <v>62.380164309999998</v>
      </c>
      <c r="C20" s="165">
        <f t="shared" si="10"/>
        <v>53.557829959999992</v>
      </c>
      <c r="D20" s="165">
        <f>SUM(D21:D26)</f>
        <v>55.568633640000002</v>
      </c>
      <c r="E20" s="165">
        <f>SUM(E21:E25)</f>
        <v>53.827641759999999</v>
      </c>
      <c r="F20" s="63">
        <f>B20/$B$57</f>
        <v>3.382737334485888E-3</v>
      </c>
      <c r="G20" s="63">
        <f>C20/$C$57</f>
        <v>3.3190177188094335E-3</v>
      </c>
      <c r="H20" s="63">
        <f>D20/$D$57</f>
        <v>3.3356879968577703E-3</v>
      </c>
      <c r="I20" s="64">
        <f>E20/$E$57</f>
        <v>3.234709556461685E-3</v>
      </c>
      <c r="J20" s="65">
        <f t="shared" ref="J20:L23" si="11">C20/B20-1</f>
        <v>-0.14142852054953181</v>
      </c>
      <c r="K20" s="65">
        <f t="shared" si="11"/>
        <v>3.7544532358793958E-2</v>
      </c>
      <c r="L20" s="66">
        <f t="shared" si="11"/>
        <v>-3.1330478472423429E-2</v>
      </c>
      <c r="M20" s="96"/>
      <c r="N20" s="80" t="str">
        <f>N13</f>
        <v>Cotisations "Maladie" + IJ AMEXA</v>
      </c>
      <c r="O20" s="314">
        <f>'[1]COMPTES NSA OK'!S22+'[1]COMPTES NSA OK'!S23</f>
        <v>583.74474866000003</v>
      </c>
      <c r="P20" s="314">
        <f>'[1]COMPTES NSA OK'!T22+'[1]COMPTES NSA OK'!T23</f>
        <v>423.79147576000003</v>
      </c>
      <c r="Q20" s="314">
        <f>'[1]COMPTES NSA OK'!U22+'[1]COMPTES NSA OK'!U23</f>
        <v>438.55704474999999</v>
      </c>
      <c r="R20" s="329">
        <f>'[1]COMPTES NSA OK'!V22+'[1]COMPTES NSA OK'!V23</f>
        <v>508.80796943000001</v>
      </c>
      <c r="S20" s="77"/>
      <c r="T20" s="77"/>
      <c r="U20" s="83"/>
      <c r="V20" s="84"/>
      <c r="W20" s="51">
        <f t="shared" si="9"/>
        <v>-0.27401235431612281</v>
      </c>
      <c r="X20" s="85">
        <f t="shared" si="9"/>
        <v>3.4841590344686368E-2</v>
      </c>
      <c r="Y20" s="86">
        <f t="shared" si="9"/>
        <v>0.16018651512039139</v>
      </c>
    </row>
    <row r="21" spans="1:25" s="73" customFormat="1" ht="12" x14ac:dyDescent="0.2">
      <c r="A21" s="45" t="str">
        <f>A14</f>
        <v>"Maladie-Maternité-Invalidité" + IJ AMEXA</v>
      </c>
      <c r="B21" s="351">
        <f>'[1]COMPTES NSA OK'!C23+'[1]COMPTES NSA OK'!C24</f>
        <v>20.152976629999998</v>
      </c>
      <c r="C21" s="351">
        <f>'[1]COMPTES NSA OK'!D23+'[1]COMPTES NSA OK'!D24</f>
        <v>17.718937439999998</v>
      </c>
      <c r="D21" s="351">
        <f>'[1]COMPTES NSA OK'!E23+'[1]COMPTES NSA OK'!E24</f>
        <v>17.791087240000003</v>
      </c>
      <c r="E21" s="328">
        <f>'[1]COMPTES NSA OK'!F23+'[1]COMPTES NSA OK'!F24</f>
        <v>17.42098232</v>
      </c>
      <c r="F21" s="77">
        <f>B21/$B$20</f>
        <v>0.32306706551539699</v>
      </c>
      <c r="G21" s="77">
        <f>C21/$C$20</f>
        <v>0.33083747891267251</v>
      </c>
      <c r="H21" s="77">
        <f>D21/$D$20</f>
        <v>0.32016420189956651</v>
      </c>
      <c r="I21" s="78">
        <f>E21/$E$20</f>
        <v>0.32364379620557243</v>
      </c>
      <c r="J21" s="51">
        <f t="shared" si="11"/>
        <v>-0.12077814779860641</v>
      </c>
      <c r="K21" s="51">
        <f t="shared" si="11"/>
        <v>4.0719033093445933E-3</v>
      </c>
      <c r="L21" s="52">
        <f>E21/D21-1</f>
        <v>-2.0802827562325099E-2</v>
      </c>
      <c r="M21" s="79"/>
      <c r="N21" s="80" t="s">
        <v>30</v>
      </c>
      <c r="O21" s="314">
        <v>0</v>
      </c>
      <c r="P21" s="314">
        <v>0</v>
      </c>
      <c r="Q21" s="314">
        <f>'[2]COMPTES NSA ok'!$R$24</f>
        <v>0</v>
      </c>
      <c r="R21" s="301">
        <f>'[2]COMPTES NSA ok'!$R$24</f>
        <v>0</v>
      </c>
      <c r="S21" s="77"/>
      <c r="T21" s="77"/>
      <c r="U21" s="83"/>
      <c r="V21" s="84"/>
      <c r="W21" s="51" t="e">
        <f t="shared" si="9"/>
        <v>#DIV/0!</v>
      </c>
      <c r="X21" s="85" t="e">
        <f t="shared" si="9"/>
        <v>#DIV/0!</v>
      </c>
      <c r="Y21" s="86" t="e">
        <f t="shared" si="9"/>
        <v>#DIV/0!</v>
      </c>
    </row>
    <row r="22" spans="1:25" s="94" customFormat="1" ht="12" x14ac:dyDescent="0.2">
      <c r="A22" s="45" t="s">
        <v>31</v>
      </c>
      <c r="B22" s="351">
        <v>3.5567969700000002</v>
      </c>
      <c r="C22" s="351">
        <v>1.6991908200000001</v>
      </c>
      <c r="D22" s="351">
        <v>1.6620202999999998</v>
      </c>
      <c r="E22" s="301">
        <v>1.9571589900000002</v>
      </c>
      <c r="F22" s="77">
        <f>B22/$B$20</f>
        <v>5.7018076328308416E-2</v>
      </c>
      <c r="G22" s="77">
        <f>C22/$C$20</f>
        <v>3.1726282063127866E-2</v>
      </c>
      <c r="H22" s="77">
        <f>D22/$D$20</f>
        <v>2.9909324579894415E-2</v>
      </c>
      <c r="I22" s="78">
        <f>E22/$E$20</f>
        <v>3.6359738714289908E-2</v>
      </c>
      <c r="J22" s="51">
        <f t="shared" si="11"/>
        <v>-0.52226938047577121</v>
      </c>
      <c r="K22" s="51">
        <f t="shared" si="11"/>
        <v>-2.1875424209271799E-2</v>
      </c>
      <c r="L22" s="52">
        <f>E22/D22-1</f>
        <v>0.17757827025337791</v>
      </c>
      <c r="M22" s="92"/>
      <c r="N22" s="80" t="s">
        <v>32</v>
      </c>
      <c r="O22" s="314">
        <v>0</v>
      </c>
      <c r="P22" s="314">
        <v>0</v>
      </c>
      <c r="Q22" s="314">
        <f>'[2]COMPTES NSA ok'!$R$25</f>
        <v>0</v>
      </c>
      <c r="R22" s="301">
        <f>'[2]COMPTES NSA ok'!$R$25</f>
        <v>0</v>
      </c>
      <c r="S22" s="77"/>
      <c r="T22" s="77"/>
      <c r="U22" s="83"/>
      <c r="V22" s="84"/>
      <c r="W22" s="51" t="e">
        <f t="shared" si="9"/>
        <v>#DIV/0!</v>
      </c>
      <c r="X22" s="85" t="e">
        <f t="shared" si="9"/>
        <v>#DIV/0!</v>
      </c>
      <c r="Y22" s="86" t="e">
        <f t="shared" si="9"/>
        <v>#DIV/0!</v>
      </c>
    </row>
    <row r="23" spans="1:25" s="94" customFormat="1" ht="12" x14ac:dyDescent="0.2">
      <c r="A23" s="45" t="s">
        <v>33</v>
      </c>
      <c r="B23" s="351">
        <v>5.2474738799999994</v>
      </c>
      <c r="C23" s="351">
        <v>3.9343283000000002</v>
      </c>
      <c r="D23" s="351">
        <v>4.5499611099999999</v>
      </c>
      <c r="E23" s="301">
        <v>3.9337006900000002</v>
      </c>
      <c r="F23" s="77">
        <f>B23/$B$20</f>
        <v>8.4120873005760752E-2</v>
      </c>
      <c r="G23" s="77">
        <f>C23/$C$20</f>
        <v>7.3459441932923322E-2</v>
      </c>
      <c r="H23" s="77">
        <f>D23/$D$20</f>
        <v>8.188002497014428E-2</v>
      </c>
      <c r="I23" s="78">
        <f>E23/$E$20</f>
        <v>7.30795658397798E-2</v>
      </c>
      <c r="J23" s="51">
        <f t="shared" si="11"/>
        <v>-0.25024337615187886</v>
      </c>
      <c r="K23" s="51">
        <f t="shared" si="11"/>
        <v>0.15647723399188607</v>
      </c>
      <c r="L23" s="52">
        <f>E23/D23-1</f>
        <v>-0.1354430082150746</v>
      </c>
      <c r="M23" s="79"/>
      <c r="N23" s="80" t="s">
        <v>34</v>
      </c>
      <c r="O23" s="314">
        <v>0</v>
      </c>
      <c r="P23" s="314">
        <v>0</v>
      </c>
      <c r="Q23" s="314">
        <f>'[2]COMPTES NSA ok'!$R$26</f>
        <v>0</v>
      </c>
      <c r="R23" s="301">
        <f>'[2]COMPTES NSA ok'!$R$26</f>
        <v>0</v>
      </c>
      <c r="S23" s="77">
        <f>O23/$O$5</f>
        <v>0</v>
      </c>
      <c r="T23" s="77">
        <f>P23/$P$5</f>
        <v>0</v>
      </c>
      <c r="U23" s="83">
        <f>Q23/$Q$5</f>
        <v>0</v>
      </c>
      <c r="V23" s="84">
        <f>R23/$R$5</f>
        <v>0</v>
      </c>
      <c r="W23" s="51" t="e">
        <f t="shared" si="9"/>
        <v>#DIV/0!</v>
      </c>
      <c r="X23" s="85" t="e">
        <f t="shared" si="9"/>
        <v>#DIV/0!</v>
      </c>
      <c r="Y23" s="86" t="e">
        <f t="shared" si="9"/>
        <v>#DIV/0!</v>
      </c>
    </row>
    <row r="24" spans="1:25" s="94" customFormat="1" ht="12" x14ac:dyDescent="0.2">
      <c r="A24" s="45" t="s">
        <v>35</v>
      </c>
      <c r="B24" s="314">
        <v>4.96316443</v>
      </c>
      <c r="C24" s="314">
        <v>4.5647421799999996</v>
      </c>
      <c r="D24" s="314">
        <v>6.5194643499999998</v>
      </c>
      <c r="E24" s="301">
        <v>6.3546052399999997</v>
      </c>
      <c r="F24" s="77">
        <f>B24/$B$5</f>
        <v>3.3234560596591205E-4</v>
      </c>
      <c r="G24" s="77">
        <f>C24/$B$5</f>
        <v>3.0566627950512175E-4</v>
      </c>
      <c r="H24" s="77">
        <f>D24/$B$5</f>
        <v>4.3655924774064174E-4</v>
      </c>
      <c r="I24" s="78">
        <f>E24/$B$5</f>
        <v>4.255198792924054E-4</v>
      </c>
      <c r="J24" s="51">
        <f>(C24-B24)/B24</f>
        <v>-8.0275851348330263E-2</v>
      </c>
      <c r="K24" s="51">
        <f>D24/C24-1</f>
        <v>0.42822181251866454</v>
      </c>
      <c r="L24" s="52">
        <f>E24/D24-1</f>
        <v>-2.5287217039540955E-2</v>
      </c>
      <c r="M24" s="79"/>
      <c r="N24" s="80" t="s">
        <v>36</v>
      </c>
      <c r="O24" s="314">
        <v>0</v>
      </c>
      <c r="P24" s="314">
        <v>0</v>
      </c>
      <c r="Q24" s="314">
        <f>'[2]COMPTES NSA ok'!$R$27</f>
        <v>0</v>
      </c>
      <c r="R24" s="301">
        <f>'[2]COMPTES NSA ok'!$R$27</f>
        <v>0</v>
      </c>
      <c r="S24" s="77"/>
      <c r="T24" s="77"/>
      <c r="U24" s="83"/>
      <c r="V24" s="84"/>
      <c r="W24" s="51" t="e">
        <f t="shared" si="9"/>
        <v>#DIV/0!</v>
      </c>
      <c r="X24" s="85" t="e">
        <f t="shared" si="9"/>
        <v>#DIV/0!</v>
      </c>
      <c r="Y24" s="86" t="e">
        <f t="shared" si="9"/>
        <v>#DIV/0!</v>
      </c>
    </row>
    <row r="25" spans="1:25" s="97" customFormat="1" ht="12.75" customHeight="1" x14ac:dyDescent="0.2">
      <c r="A25" s="45" t="s">
        <v>37</v>
      </c>
      <c r="B25" s="351">
        <v>28.459752400000003</v>
      </c>
      <c r="C25" s="351">
        <v>25.64063122</v>
      </c>
      <c r="D25" s="351">
        <v>25.046100639999999</v>
      </c>
      <c r="E25" s="301">
        <v>24.161194520000002</v>
      </c>
      <c r="F25" s="77">
        <f>B25/$B$20</f>
        <v>0.4562308021275554</v>
      </c>
      <c r="G25" s="77">
        <f>C25/$C$20</f>
        <v>0.47874664151161217</v>
      </c>
      <c r="H25" s="77">
        <f>D25/$D$20</f>
        <v>0.45072370867098394</v>
      </c>
      <c r="I25" s="78">
        <f>E25/$E$20</f>
        <v>0.44886221521141378</v>
      </c>
      <c r="J25" s="51">
        <f>C25/B25-1</f>
        <v>-9.9056419759997794E-2</v>
      </c>
      <c r="K25" s="51">
        <f>D25/C25-1</f>
        <v>-2.3187049292930806E-2</v>
      </c>
      <c r="L25" s="52">
        <f>E25/D25-1</f>
        <v>-3.5331093359369237E-2</v>
      </c>
      <c r="M25" s="79"/>
      <c r="N25" s="80"/>
      <c r="O25" s="81"/>
      <c r="P25" s="81"/>
      <c r="Q25" s="81"/>
      <c r="R25" s="315"/>
      <c r="S25" s="77"/>
      <c r="T25" s="77"/>
      <c r="U25" s="83"/>
      <c r="V25" s="84"/>
      <c r="W25" s="51"/>
      <c r="X25" s="85"/>
      <c r="Y25" s="86"/>
    </row>
    <row r="26" spans="1:25" s="73" customFormat="1" ht="12" x14ac:dyDescent="0.2">
      <c r="A26" s="45"/>
      <c r="B26" s="296"/>
      <c r="C26" s="296"/>
      <c r="D26" s="296"/>
      <c r="E26" s="326"/>
      <c r="F26" s="77"/>
      <c r="G26" s="77"/>
      <c r="H26" s="77"/>
      <c r="I26" s="78"/>
      <c r="J26" s="51"/>
      <c r="K26" s="51"/>
      <c r="L26" s="52"/>
      <c r="M26" s="79"/>
      <c r="N26" s="68" t="s">
        <v>19</v>
      </c>
      <c r="O26" s="164">
        <f t="shared" ref="O26:Q26" si="12">SUM(O27:O31)</f>
        <v>4518.6426259899999</v>
      </c>
      <c r="P26" s="164">
        <f t="shared" si="12"/>
        <v>4749.6925377699999</v>
      </c>
      <c r="Q26" s="164">
        <f t="shared" si="12"/>
        <v>4868.3526247</v>
      </c>
      <c r="R26" s="164">
        <f>SUM(R27:R31)</f>
        <v>4717.54026221</v>
      </c>
      <c r="S26" s="63">
        <f>O26/$O$75</f>
        <v>0.24508370955071523</v>
      </c>
      <c r="T26" s="63">
        <f>P26/$P$75</f>
        <v>0.28478409107249514</v>
      </c>
      <c r="U26" s="63">
        <f>Q26/$P$75</f>
        <v>0.29189876317689389</v>
      </c>
      <c r="V26" s="70">
        <f>R26/$R$75</f>
        <v>0.28084465649677581</v>
      </c>
      <c r="W26" s="65">
        <f t="shared" ref="W26:Y31" si="13">P26/O26-1</f>
        <v>5.113259244071755E-2</v>
      </c>
      <c r="X26" s="71">
        <f t="shared" si="13"/>
        <v>2.4982688034310474E-2</v>
      </c>
      <c r="Y26" s="72">
        <f t="shared" si="13"/>
        <v>-3.0978109869207238E-2</v>
      </c>
    </row>
    <row r="27" spans="1:25" s="73" customFormat="1" ht="12.75" customHeight="1" x14ac:dyDescent="0.2">
      <c r="A27" s="60" t="s">
        <v>41</v>
      </c>
      <c r="B27" s="165">
        <f>B13+B20</f>
        <v>1724.6137506600003</v>
      </c>
      <c r="C27" s="165">
        <f>C13+C20</f>
        <v>544.38655560000007</v>
      </c>
      <c r="D27" s="165">
        <f>D13+D20</f>
        <v>549.89695474999996</v>
      </c>
      <c r="E27" s="165">
        <f>E20+E13</f>
        <v>393.85135588999998</v>
      </c>
      <c r="F27" s="63">
        <f>B27/$B$57</f>
        <v>9.3521961451295821E-2</v>
      </c>
      <c r="G27" s="63">
        <f>C27/$C$57</f>
        <v>3.3736031225825962E-2</v>
      </c>
      <c r="H27" s="63">
        <f>D27/$D$57</f>
        <v>3.3009353502401778E-2</v>
      </c>
      <c r="I27" s="64">
        <f>E27/$E$57</f>
        <v>2.3668039376554977E-2</v>
      </c>
      <c r="J27" s="65">
        <f>C27/B27-1</f>
        <v>-0.68434291133787706</v>
      </c>
      <c r="K27" s="65">
        <f>D27/C27-1</f>
        <v>1.0122217555366575E-2</v>
      </c>
      <c r="L27" s="66">
        <f>E27/D27-1</f>
        <v>-0.28377243683944953</v>
      </c>
      <c r="M27" s="79"/>
      <c r="N27" s="80" t="str">
        <f>N20</f>
        <v>Cotisations "Maladie" + IJ AMEXA</v>
      </c>
      <c r="O27" s="314">
        <f>'[1]COMPTES NSA OK'!S30+'[1]COMPTES NSA OK'!S31</f>
        <v>1421.47587593</v>
      </c>
      <c r="P27" s="314">
        <f>'[1]COMPTES NSA OK'!T30+'[1]COMPTES NSA OK'!T31</f>
        <v>1522.8341223000002</v>
      </c>
      <c r="Q27" s="314">
        <f>'[1]COMPTES NSA OK'!U30+'[1]COMPTES NSA OK'!U31</f>
        <v>1558.7126166600001</v>
      </c>
      <c r="R27" s="329">
        <f>'[1]COMPTES NSA OK'!V30+'[1]COMPTES NSA OK'!V31</f>
        <v>1512.9845784300001</v>
      </c>
      <c r="S27" s="77">
        <f>O27/$O$26</f>
        <v>0.31458028297127516</v>
      </c>
      <c r="T27" s="77">
        <f>P27/$P$26</f>
        <v>0.32061741053558324</v>
      </c>
      <c r="U27" s="83">
        <f>Q27/$Q$26</f>
        <v>0.32017249710954365</v>
      </c>
      <c r="V27" s="84">
        <f>R27/$R$26</f>
        <v>0.32071471451972738</v>
      </c>
      <c r="W27" s="51">
        <f t="shared" si="13"/>
        <v>7.1304936007926756E-2</v>
      </c>
      <c r="X27" s="85">
        <f t="shared" si="13"/>
        <v>2.3560343069940703E-2</v>
      </c>
      <c r="Y27" s="86">
        <f t="shared" si="13"/>
        <v>-2.9337055298869541E-2</v>
      </c>
    </row>
    <row r="28" spans="1:25" s="73" customFormat="1" ht="12.75" customHeight="1" x14ac:dyDescent="0.2">
      <c r="A28" s="45"/>
      <c r="B28" s="95"/>
      <c r="C28" s="95"/>
      <c r="D28" s="95"/>
      <c r="E28" s="327"/>
      <c r="F28" s="77"/>
      <c r="G28" s="77"/>
      <c r="H28" s="77"/>
      <c r="I28" s="78"/>
      <c r="J28" s="51"/>
      <c r="K28" s="51"/>
      <c r="L28" s="52"/>
      <c r="M28" s="92"/>
      <c r="N28" s="80" t="s">
        <v>30</v>
      </c>
      <c r="O28" s="314">
        <v>0</v>
      </c>
      <c r="P28" s="314">
        <v>0</v>
      </c>
      <c r="Q28" s="314">
        <v>0</v>
      </c>
      <c r="R28" s="329">
        <v>0</v>
      </c>
      <c r="S28" s="77">
        <f>O28/$O$26</f>
        <v>0</v>
      </c>
      <c r="T28" s="77">
        <f>P28/$P$26</f>
        <v>0</v>
      </c>
      <c r="U28" s="83">
        <f>Q28/$Q$26</f>
        <v>0</v>
      </c>
      <c r="V28" s="84">
        <f>R28/$R$26</f>
        <v>0</v>
      </c>
      <c r="W28" s="51" t="e">
        <f t="shared" si="13"/>
        <v>#DIV/0!</v>
      </c>
      <c r="X28" s="85" t="e">
        <f t="shared" si="13"/>
        <v>#DIV/0!</v>
      </c>
      <c r="Y28" s="86" t="e">
        <f t="shared" si="13"/>
        <v>#DIV/0!</v>
      </c>
    </row>
    <row r="29" spans="1:25" s="94" customFormat="1" ht="12.75" customHeight="1" x14ac:dyDescent="0.2">
      <c r="A29" s="60" t="s">
        <v>42</v>
      </c>
      <c r="B29" s="90">
        <f>SUM(B30:B34)</f>
        <v>13.842119749999998</v>
      </c>
      <c r="C29" s="90">
        <f>SUM(C30:C34)</f>
        <v>4.1802862899999997</v>
      </c>
      <c r="D29" s="165">
        <f>SUM(D30:D34)</f>
        <v>7.9906330300000006</v>
      </c>
      <c r="E29" s="165">
        <f>SUM(E30:E34)</f>
        <v>9.5411951200000011</v>
      </c>
      <c r="F29" s="63">
        <f>B29/$B$57</f>
        <v>7.5062731534426548E-4</v>
      </c>
      <c r="G29" s="63">
        <f>C29/$C$57</f>
        <v>2.5905538511490042E-4</v>
      </c>
      <c r="H29" s="63">
        <f>D29/$D$57</f>
        <v>4.7966374084605325E-4</v>
      </c>
      <c r="I29" s="64">
        <f>E29/$E$57</f>
        <v>5.7336702901341437E-4</v>
      </c>
      <c r="J29" s="65">
        <f t="shared" ref="J29:L32" si="14">C29/B29-1</f>
        <v>-0.69800244720466309</v>
      </c>
      <c r="K29" s="65">
        <f t="shared" si="14"/>
        <v>0.9115037764554641</v>
      </c>
      <c r="L29" s="66">
        <f t="shared" si="14"/>
        <v>0.19404746584889798</v>
      </c>
      <c r="M29" s="79"/>
      <c r="N29" s="80" t="s">
        <v>32</v>
      </c>
      <c r="O29" s="314">
        <v>5.03124897</v>
      </c>
      <c r="P29" s="314">
        <v>4.6240689899999996</v>
      </c>
      <c r="Q29" s="314">
        <v>4.4887004599999996</v>
      </c>
      <c r="R29" s="329">
        <v>4.3387477600000004</v>
      </c>
      <c r="S29" s="77">
        <f>O29/$O$26</f>
        <v>1.1134425504379631E-3</v>
      </c>
      <c r="T29" s="77">
        <f>P29/$P$26</f>
        <v>9.7355122531173749E-4</v>
      </c>
      <c r="U29" s="83">
        <f>Q29/$Q$26</f>
        <v>9.2201629709939186E-4</v>
      </c>
      <c r="V29" s="84">
        <f>R29/$R$26</f>
        <v>9.1970550728642884E-4</v>
      </c>
      <c r="W29" s="51">
        <f t="shared" si="13"/>
        <v>-8.0930198928319097E-2</v>
      </c>
      <c r="X29" s="85">
        <f t="shared" si="13"/>
        <v>-2.9274764345589954E-2</v>
      </c>
      <c r="Y29" s="86">
        <f t="shared" si="13"/>
        <v>-3.3406706759844473E-2</v>
      </c>
    </row>
    <row r="30" spans="1:25" s="94" customFormat="1" ht="12.75" customHeight="1" x14ac:dyDescent="0.2">
      <c r="A30" s="45" t="str">
        <f>A21</f>
        <v>"Maladie-Maternité-Invalidité" + IJ AMEXA</v>
      </c>
      <c r="B30" s="351">
        <f>'[1]COMPTES NSA OK'!C33+'[1]COMPTES NSA OK'!C34</f>
        <v>0.46338338000000001</v>
      </c>
      <c r="C30" s="351">
        <f>'[1]COMPTES NSA OK'!D33+'[1]COMPTES NSA OK'!D34</f>
        <v>0.41023106999999998</v>
      </c>
      <c r="D30" s="351">
        <f>'[1]COMPTES NSA OK'!E33+'[1]COMPTES NSA OK'!E34</f>
        <v>0.60922907000000004</v>
      </c>
      <c r="E30" s="328">
        <f>'[1]COMPTES NSA OK'!F33+'[1]COMPTES NSA OK'!F34</f>
        <v>0.98637302999999998</v>
      </c>
      <c r="F30" s="77">
        <f>B30/$B$29</f>
        <v>3.3476330819923739E-2</v>
      </c>
      <c r="G30" s="77">
        <f>C30/$C$29</f>
        <v>9.8134683019521135E-2</v>
      </c>
      <c r="H30" s="77">
        <f>D30/$D$29</f>
        <v>7.6242904374748899E-2</v>
      </c>
      <c r="I30" s="78">
        <f>E30/$E$29</f>
        <v>0.10338044842332078</v>
      </c>
      <c r="J30" s="51">
        <f t="shared" si="14"/>
        <v>-0.11470482605569499</v>
      </c>
      <c r="K30" s="51">
        <f t="shared" si="14"/>
        <v>0.48508758734437163</v>
      </c>
      <c r="L30" s="52">
        <f t="shared" si="14"/>
        <v>0.61905115591414561</v>
      </c>
      <c r="M30" s="92"/>
      <c r="N30" s="80" t="s">
        <v>34</v>
      </c>
      <c r="O30" s="314">
        <v>322.57794943000005</v>
      </c>
      <c r="P30" s="314">
        <v>313.56842792999998</v>
      </c>
      <c r="Q30" s="314">
        <v>666.27188158000001</v>
      </c>
      <c r="R30" s="329">
        <v>588.41516970999999</v>
      </c>
      <c r="S30" s="77">
        <f>O30/$O$5</f>
        <v>0.13050865344528123</v>
      </c>
      <c r="T30" s="77">
        <f>P30/$P$5</f>
        <v>0.12561985593369637</v>
      </c>
      <c r="U30" s="83">
        <f>Q30/$Q$5</f>
        <v>0.26154187962548575</v>
      </c>
      <c r="V30" s="84">
        <f>R30/$R$5</f>
        <v>0.19920005116991579</v>
      </c>
      <c r="W30" s="51">
        <f t="shared" si="13"/>
        <v>-2.7929750052413715E-2</v>
      </c>
      <c r="X30" s="85">
        <f t="shared" si="13"/>
        <v>1.1248053765436374</v>
      </c>
      <c r="Y30" s="86">
        <f t="shared" si="13"/>
        <v>-0.11685426628746554</v>
      </c>
    </row>
    <row r="31" spans="1:25" s="94" customFormat="1" ht="12.75" customHeight="1" x14ac:dyDescent="0.2">
      <c r="A31" s="45" t="s">
        <v>31</v>
      </c>
      <c r="B31" s="351">
        <v>2.1039014099999997</v>
      </c>
      <c r="C31" s="351">
        <v>2.4905847199999998</v>
      </c>
      <c r="D31" s="351">
        <v>4.5950734900000008</v>
      </c>
      <c r="E31" s="328">
        <v>2.7613311999999999</v>
      </c>
      <c r="F31" s="77">
        <f>B31/$B$29</f>
        <v>0.15199271845628989</v>
      </c>
      <c r="G31" s="77">
        <f>C31/$C$29</f>
        <v>0.5957928589622985</v>
      </c>
      <c r="H31" s="77">
        <f>D31/$D$29</f>
        <v>0.57505750454917337</v>
      </c>
      <c r="I31" s="78">
        <f>E31/$E$29</f>
        <v>0.28941145897035164</v>
      </c>
      <c r="J31" s="51">
        <f t="shared" si="14"/>
        <v>0.18379345541671555</v>
      </c>
      <c r="K31" s="51">
        <f t="shared" si="14"/>
        <v>0.8449777889908523</v>
      </c>
      <c r="L31" s="52">
        <f t="shared" si="14"/>
        <v>-0.39906702123277693</v>
      </c>
      <c r="M31" s="79"/>
      <c r="N31" s="80" t="s">
        <v>36</v>
      </c>
      <c r="O31" s="314">
        <v>2769.5575516600002</v>
      </c>
      <c r="P31" s="314">
        <v>2908.6659185499998</v>
      </c>
      <c r="Q31" s="314">
        <v>2638.879426</v>
      </c>
      <c r="R31" s="329">
        <v>2611.8017663099999</v>
      </c>
      <c r="S31" s="77">
        <f>O31/$O$26</f>
        <v>0.61291803333378492</v>
      </c>
      <c r="T31" s="77">
        <f>P31/$P$26</f>
        <v>0.61239035904324668</v>
      </c>
      <c r="U31" s="83">
        <f>Q31/$Q$26</f>
        <v>0.54204771704732757</v>
      </c>
      <c r="V31" s="84">
        <f>R31/$R$26</f>
        <v>0.5536363488472833</v>
      </c>
      <c r="W31" s="51">
        <f t="shared" si="13"/>
        <v>5.0227649830429266E-2</v>
      </c>
      <c r="X31" s="85">
        <f t="shared" si="13"/>
        <v>-9.2752657095969027E-2</v>
      </c>
      <c r="Y31" s="86">
        <f t="shared" si="13"/>
        <v>-1.0261044677984499E-2</v>
      </c>
    </row>
    <row r="32" spans="1:25" s="97" customFormat="1" ht="12.75" customHeight="1" x14ac:dyDescent="0.2">
      <c r="A32" s="45" t="s">
        <v>33</v>
      </c>
      <c r="B32" s="351">
        <v>0.11646199</v>
      </c>
      <c r="C32" s="351">
        <v>0.13235195999999999</v>
      </c>
      <c r="D32" s="351">
        <v>0.14224012999999999</v>
      </c>
      <c r="E32" s="328">
        <v>0.61819672999999997</v>
      </c>
      <c r="F32" s="77">
        <f>B32/$B$29</f>
        <v>8.4135950348211679E-3</v>
      </c>
      <c r="G32" s="77">
        <f>C32/$C$29</f>
        <v>3.1660979851214924E-2</v>
      </c>
      <c r="H32" s="77">
        <f>D32/$D$29</f>
        <v>1.7800858763751787E-2</v>
      </c>
      <c r="I32" s="78">
        <f>E32/$E$29</f>
        <v>6.4792378965623745E-2</v>
      </c>
      <c r="J32" s="51">
        <f t="shared" si="14"/>
        <v>0.13643910772948309</v>
      </c>
      <c r="K32" s="51">
        <f t="shared" si="14"/>
        <v>7.4711171636596907E-2</v>
      </c>
      <c r="L32" s="52">
        <f t="shared" si="14"/>
        <v>3.3461485165965472</v>
      </c>
      <c r="M32" s="67"/>
      <c r="N32" s="80"/>
      <c r="O32" s="81"/>
      <c r="P32" s="81"/>
      <c r="Q32" s="81"/>
      <c r="R32" s="315"/>
      <c r="S32" s="77"/>
      <c r="T32" s="77"/>
      <c r="U32" s="83"/>
      <c r="V32" s="84"/>
      <c r="W32" s="51"/>
      <c r="X32" s="85"/>
      <c r="Y32" s="86"/>
    </row>
    <row r="33" spans="1:25" s="94" customFormat="1" ht="12.75" customHeight="1" x14ac:dyDescent="0.2">
      <c r="A33" s="45" t="s">
        <v>35</v>
      </c>
      <c r="B33" s="314">
        <v>0.65486288000000004</v>
      </c>
      <c r="C33" s="314">
        <v>1.0254293800000001</v>
      </c>
      <c r="D33" s="314">
        <v>2.23196876</v>
      </c>
      <c r="E33" s="329">
        <v>8.5516120000000001E-2</v>
      </c>
      <c r="F33" s="77">
        <f>B33/$B$5</f>
        <v>4.3851217050687635E-5</v>
      </c>
      <c r="G33" s="77">
        <f>C33/$B$5</f>
        <v>6.866525449195112E-5</v>
      </c>
      <c r="H33" s="77">
        <f>D33/$B$5</f>
        <v>1.4945807669708525E-4</v>
      </c>
      <c r="I33" s="78">
        <f>E33/$B$5</f>
        <v>5.7263681512267873E-6</v>
      </c>
      <c r="J33" s="51">
        <f>(C33-B33)/B33</f>
        <v>0.56586884264992998</v>
      </c>
      <c r="K33" s="51">
        <f>D33/C33-1</f>
        <v>1.1766186960627167</v>
      </c>
      <c r="L33" s="52">
        <f>E33/D33-1</f>
        <v>-0.96168578990326015</v>
      </c>
      <c r="M33" s="87"/>
      <c r="N33" s="68" t="s">
        <v>143</v>
      </c>
      <c r="O33" s="61">
        <f>SUM(O34:O38)</f>
        <v>5369.3811884999996</v>
      </c>
      <c r="P33" s="61">
        <f>SUM(P34:P38)</f>
        <v>4500.8894475899997</v>
      </c>
      <c r="Q33" s="319">
        <f>SUM(Q34:Q38)</f>
        <v>4639.8392698600001</v>
      </c>
      <c r="R33" s="319">
        <f>SUM(R34:R38)</f>
        <v>4389.4364763200001</v>
      </c>
      <c r="S33" s="63">
        <f>O33/$O$75</f>
        <v>0.29122636344384367</v>
      </c>
      <c r="T33" s="63">
        <f>P33/$P$75</f>
        <v>0.26986624926915892</v>
      </c>
      <c r="U33" s="63">
        <f>Q33/$P$75</f>
        <v>0.27819746197928213</v>
      </c>
      <c r="V33" s="70">
        <f>R33/$R$75</f>
        <v>0.26131197846502507</v>
      </c>
      <c r="W33" s="65">
        <f t="shared" ref="W33:W38" si="15">P33/O33-1</f>
        <v>-0.16174894469592005</v>
      </c>
      <c r="X33" s="71">
        <f t="shared" ref="X33:X38" si="16">Q33/P33-1</f>
        <v>3.0871636348322351E-2</v>
      </c>
      <c r="Y33" s="72">
        <f t="shared" ref="Y33:Y38" si="17">R33/Q33-1</f>
        <v>-5.3967988754825003E-2</v>
      </c>
    </row>
    <row r="34" spans="1:25" s="73" customFormat="1" ht="12.75" customHeight="1" x14ac:dyDescent="0.2">
      <c r="A34" s="45" t="s">
        <v>37</v>
      </c>
      <c r="B34" s="351">
        <v>10.503510089999999</v>
      </c>
      <c r="C34" s="351">
        <v>0.12168916</v>
      </c>
      <c r="D34" s="351">
        <v>0.41212157999999999</v>
      </c>
      <c r="E34" s="328">
        <v>5.0897780400000006</v>
      </c>
      <c r="F34" s="77">
        <f>B34/$B$29</f>
        <v>0.75880791957460125</v>
      </c>
      <c r="G34" s="77">
        <f>C34/$C$29</f>
        <v>2.9110245461202614E-2</v>
      </c>
      <c r="H34" s="77">
        <f>D34/$D$29</f>
        <v>5.1575585870697903E-2</v>
      </c>
      <c r="I34" s="78">
        <f>E34/$E$29</f>
        <v>0.53345288257767021</v>
      </c>
      <c r="J34" s="51">
        <f>C34/B34-1</f>
        <v>-0.98841442918059785</v>
      </c>
      <c r="K34" s="51">
        <f>D34/C34-1</f>
        <v>2.386674540279512</v>
      </c>
      <c r="L34" s="52">
        <f>E34/D34-1</f>
        <v>11.350185690348951</v>
      </c>
      <c r="M34" s="67"/>
      <c r="N34" s="80" t="str">
        <f>N20</f>
        <v>Cotisations "Maladie" + IJ AMEXA</v>
      </c>
      <c r="O34" s="314">
        <v>4974.0001246599995</v>
      </c>
      <c r="P34" s="314">
        <v>4140.1775857699995</v>
      </c>
      <c r="Q34" s="314">
        <v>4231.4442780600002</v>
      </c>
      <c r="R34" s="301">
        <v>3963.1403612499998</v>
      </c>
      <c r="S34" s="77">
        <f>O34/$O$40</f>
        <v>1.1381514319262325</v>
      </c>
      <c r="T34" s="77">
        <f>P34/$P$40</f>
        <v>1.3790301303547365</v>
      </c>
      <c r="U34" s="83">
        <f>Q34/$Q$40</f>
        <v>1.4263609235876502</v>
      </c>
      <c r="V34" s="84">
        <f>R34/$R$40</f>
        <v>1.3505839434557168</v>
      </c>
      <c r="W34" s="51">
        <f t="shared" si="15"/>
        <v>-0.16763621190037592</v>
      </c>
      <c r="X34" s="85">
        <f t="shared" si="16"/>
        <v>2.204414916975761E-2</v>
      </c>
      <c r="Y34" s="86">
        <f t="shared" si="17"/>
        <v>-6.3407172392923594E-2</v>
      </c>
    </row>
    <row r="35" spans="1:25" s="73" customFormat="1" ht="12.75" customHeight="1" x14ac:dyDescent="0.2">
      <c r="A35" s="74"/>
      <c r="B35" s="98"/>
      <c r="C35" s="98"/>
      <c r="D35" s="98"/>
      <c r="E35" s="330"/>
      <c r="F35" s="99"/>
      <c r="G35" s="99"/>
      <c r="H35" s="99"/>
      <c r="I35" s="100"/>
      <c r="J35" s="101"/>
      <c r="K35" s="101"/>
      <c r="L35" s="102"/>
      <c r="M35" s="67"/>
      <c r="N35" s="80" t="s">
        <v>30</v>
      </c>
      <c r="O35" s="314">
        <v>395.38106384000002</v>
      </c>
      <c r="P35" s="314">
        <v>360.71186182000002</v>
      </c>
      <c r="Q35" s="314">
        <v>408.39499180000001</v>
      </c>
      <c r="R35" s="301">
        <v>426.29611506999998</v>
      </c>
      <c r="S35" s="77">
        <f>O35/$O$40</f>
        <v>9.0471152530735691E-2</v>
      </c>
      <c r="T35" s="77">
        <f>P35/$P$40</f>
        <v>0.12014763026973412</v>
      </c>
      <c r="U35" s="83">
        <f>Q35/$Q$40</f>
        <v>0.13766426293565362</v>
      </c>
      <c r="V35" s="84">
        <f>R35/$R$40</f>
        <v>0.14527587612100062</v>
      </c>
      <c r="W35" s="51">
        <f t="shared" si="15"/>
        <v>-8.7685539826534709E-2</v>
      </c>
      <c r="X35" s="85">
        <f t="shared" si="16"/>
        <v>0.13219174367987518</v>
      </c>
      <c r="Y35" s="86">
        <f t="shared" si="17"/>
        <v>4.3832866781986723E-2</v>
      </c>
    </row>
    <row r="36" spans="1:25" ht="12.75" customHeight="1" x14ac:dyDescent="0.2">
      <c r="A36" s="60" t="s">
        <v>43</v>
      </c>
      <c r="B36" s="90">
        <f>SUM(B37:B41)</f>
        <v>89.276517919999989</v>
      </c>
      <c r="C36" s="90">
        <f>SUM(C37:C41)</f>
        <v>124.60882316000001</v>
      </c>
      <c r="D36" s="165">
        <f>SUM(D37:D41)</f>
        <v>9.9508104500000005</v>
      </c>
      <c r="E36" s="165">
        <f>SUM(E37:E41)</f>
        <v>10.627469749999999</v>
      </c>
      <c r="F36" s="63">
        <f>B36/$B$57</f>
        <v>4.8412666686815653E-3</v>
      </c>
      <c r="G36" s="63">
        <f>C36/$C$57</f>
        <v>7.7220995006129899E-3</v>
      </c>
      <c r="H36" s="63">
        <f>D36/$D$57</f>
        <v>5.9732976686291384E-4</v>
      </c>
      <c r="I36" s="64">
        <f>E36/$E$57</f>
        <v>6.3864544009948232E-4</v>
      </c>
      <c r="J36" s="65">
        <f t="shared" ref="J36:L39" si="18">C36/B36-1</f>
        <v>0.39576258195532477</v>
      </c>
      <c r="K36" s="65">
        <f t="shared" si="18"/>
        <v>-0.92014361264592814</v>
      </c>
      <c r="L36" s="66">
        <f t="shared" si="18"/>
        <v>6.8000421010933731E-2</v>
      </c>
      <c r="M36" s="67"/>
      <c r="N36" s="80" t="s">
        <v>32</v>
      </c>
      <c r="O36" s="346"/>
      <c r="P36" s="346"/>
      <c r="Q36" s="346"/>
      <c r="R36" s="347"/>
      <c r="S36" s="77">
        <f>O36/$O$40</f>
        <v>0</v>
      </c>
      <c r="T36" s="77">
        <f>P36/$P$40</f>
        <v>0</v>
      </c>
      <c r="U36" s="83">
        <f>Q36/$Q$40</f>
        <v>0</v>
      </c>
      <c r="V36" s="84">
        <f>R36/$R$40</f>
        <v>0</v>
      </c>
      <c r="W36" s="51" t="e">
        <f t="shared" si="15"/>
        <v>#DIV/0!</v>
      </c>
      <c r="X36" s="85" t="e">
        <f t="shared" si="16"/>
        <v>#DIV/0!</v>
      </c>
      <c r="Y36" s="86" t="e">
        <f t="shared" si="17"/>
        <v>#DIV/0!</v>
      </c>
    </row>
    <row r="37" spans="1:25" ht="12.75" customHeight="1" x14ac:dyDescent="0.2">
      <c r="A37" s="45" t="str">
        <f>A30</f>
        <v>"Maladie-Maternité-Invalidité" + IJ AMEXA</v>
      </c>
      <c r="B37" s="351">
        <f>'[1]COMPTES NSA OK'!C41+'[1]COMPTES NSA OK'!C42</f>
        <v>10.915506349999999</v>
      </c>
      <c r="C37" s="351">
        <f>'[1]COMPTES NSA OK'!D41+'[1]COMPTES NSA OK'!D42</f>
        <v>11.062796779999999</v>
      </c>
      <c r="D37" s="351">
        <f>'[1]COMPTES NSA OK'!E41+'[1]COMPTES NSA OK'!E42</f>
        <v>9.9508104500000005</v>
      </c>
      <c r="E37" s="328">
        <f>'[1]COMPTES NSA OK'!F41+'[1]COMPTES NSA OK'!F42</f>
        <v>10.627469749999999</v>
      </c>
      <c r="F37" s="77">
        <f>B37/$B$36</f>
        <v>0.12226626445916385</v>
      </c>
      <c r="G37" s="77">
        <f>C37/$C$36</f>
        <v>8.878020431823809E-2</v>
      </c>
      <c r="H37" s="77">
        <f>D37/$D$36</f>
        <v>1</v>
      </c>
      <c r="I37" s="78">
        <f>E37/$E$36</f>
        <v>1</v>
      </c>
      <c r="J37" s="51">
        <f t="shared" si="18"/>
        <v>1.3493687354228845E-2</v>
      </c>
      <c r="K37" s="51">
        <f t="shared" si="18"/>
        <v>-0.10051584170924266</v>
      </c>
      <c r="L37" s="52">
        <f>E37/D37-1</f>
        <v>6.8000421010933731E-2</v>
      </c>
      <c r="M37" s="67"/>
      <c r="N37" s="80" t="s">
        <v>34</v>
      </c>
      <c r="O37" s="346"/>
      <c r="P37" s="346"/>
      <c r="Q37" s="346"/>
      <c r="R37" s="347"/>
      <c r="S37" s="77">
        <f>O37/$O$5</f>
        <v>0</v>
      </c>
      <c r="T37" s="77">
        <f>P37/$P$5</f>
        <v>0</v>
      </c>
      <c r="U37" s="83">
        <f>Q37/$Q$5</f>
        <v>0</v>
      </c>
      <c r="V37" s="84">
        <f>R37/$R$5</f>
        <v>0</v>
      </c>
      <c r="W37" s="51" t="e">
        <f t="shared" si="15"/>
        <v>#DIV/0!</v>
      </c>
      <c r="X37" s="85" t="e">
        <f t="shared" si="16"/>
        <v>#DIV/0!</v>
      </c>
      <c r="Y37" s="86" t="e">
        <f t="shared" si="17"/>
        <v>#DIV/0!</v>
      </c>
    </row>
    <row r="38" spans="1:25" s="73" customFormat="1" ht="12.75" customHeight="1" x14ac:dyDescent="0.2">
      <c r="A38" s="45" t="s">
        <v>31</v>
      </c>
      <c r="B38" s="351">
        <v>77.054868019999986</v>
      </c>
      <c r="C38" s="351">
        <v>112.75116841000001</v>
      </c>
      <c r="D38" s="351">
        <v>0</v>
      </c>
      <c r="E38" s="328">
        <v>0</v>
      </c>
      <c r="F38" s="77">
        <f>B38/$B$36</f>
        <v>0.8631034208687246</v>
      </c>
      <c r="G38" s="77">
        <f>C38/$C$36</f>
        <v>0.90484096993055974</v>
      </c>
      <c r="H38" s="77">
        <f>D38/$D$36</f>
        <v>0</v>
      </c>
      <c r="I38" s="78">
        <f>E38/$E$36</f>
        <v>0</v>
      </c>
      <c r="J38" s="51">
        <f t="shared" si="18"/>
        <v>0.46325821206695017</v>
      </c>
      <c r="K38" s="51">
        <f t="shared" si="18"/>
        <v>-1</v>
      </c>
      <c r="L38" s="52" t="e">
        <f t="shared" si="18"/>
        <v>#DIV/0!</v>
      </c>
      <c r="M38" s="92"/>
      <c r="N38" s="80" t="s">
        <v>36</v>
      </c>
      <c r="O38" s="346"/>
      <c r="P38" s="346"/>
      <c r="Q38" s="346"/>
      <c r="R38" s="347"/>
      <c r="S38" s="77">
        <f>O38/$O$40</f>
        <v>0</v>
      </c>
      <c r="T38" s="77">
        <f>P38/$P$40</f>
        <v>0</v>
      </c>
      <c r="U38" s="83">
        <f>Q38/$Q$40</f>
        <v>0</v>
      </c>
      <c r="V38" s="84">
        <f>R38/$R$40</f>
        <v>0</v>
      </c>
      <c r="W38" s="51" t="e">
        <f t="shared" si="15"/>
        <v>#DIV/0!</v>
      </c>
      <c r="X38" s="85" t="e">
        <f t="shared" si="16"/>
        <v>#DIV/0!</v>
      </c>
      <c r="Y38" s="86" t="e">
        <f t="shared" si="17"/>
        <v>#DIV/0!</v>
      </c>
    </row>
    <row r="39" spans="1:25" ht="12.75" customHeight="1" x14ac:dyDescent="0.2">
      <c r="A39" s="45" t="s">
        <v>33</v>
      </c>
      <c r="B39" s="351">
        <v>0.61420969999999997</v>
      </c>
      <c r="C39" s="351">
        <v>0.38539745000000003</v>
      </c>
      <c r="D39" s="351">
        <v>0</v>
      </c>
      <c r="E39" s="328">
        <v>0</v>
      </c>
      <c r="F39" s="77">
        <f>B39/$B$36</f>
        <v>6.8798572604544077E-3</v>
      </c>
      <c r="G39" s="77">
        <f>C39/$C$36</f>
        <v>3.0928584367187436E-3</v>
      </c>
      <c r="H39" s="77">
        <f>D39/$D$36</f>
        <v>0</v>
      </c>
      <c r="I39" s="78">
        <f>E39/$E$36</f>
        <v>0</v>
      </c>
      <c r="J39" s="51">
        <f t="shared" si="18"/>
        <v>-0.37253115670429815</v>
      </c>
      <c r="K39" s="51">
        <f t="shared" si="18"/>
        <v>-1</v>
      </c>
      <c r="L39" s="52" t="e">
        <f>E39/D39-1</f>
        <v>#DIV/0!</v>
      </c>
      <c r="M39" s="103"/>
      <c r="N39" s="80"/>
      <c r="O39" s="346"/>
      <c r="P39" s="346"/>
      <c r="Q39" s="346"/>
      <c r="R39" s="347"/>
      <c r="S39" s="77"/>
      <c r="T39" s="77"/>
      <c r="U39" s="83"/>
      <c r="V39" s="84"/>
      <c r="W39" s="51"/>
      <c r="X39" s="85"/>
      <c r="Y39" s="86"/>
    </row>
    <row r="40" spans="1:25" s="12" customFormat="1" ht="12.75" customHeight="1" x14ac:dyDescent="0.2">
      <c r="A40" s="45" t="s">
        <v>35</v>
      </c>
      <c r="B40" s="314">
        <v>9.0362129999999999E-2</v>
      </c>
      <c r="C40" s="314">
        <v>5.5112229999999998E-2</v>
      </c>
      <c r="D40" s="314">
        <v>0</v>
      </c>
      <c r="E40" s="329">
        <v>0</v>
      </c>
      <c r="F40" s="77">
        <f>B40/$B$5</f>
        <v>6.0508688105706225E-6</v>
      </c>
      <c r="G40" s="77">
        <f>C40/$B$5</f>
        <v>3.690449456957185E-6</v>
      </c>
      <c r="H40" s="77">
        <f>D40/$B$5</f>
        <v>0</v>
      </c>
      <c r="I40" s="78">
        <f>E40/$B$5</f>
        <v>0</v>
      </c>
      <c r="J40" s="51">
        <f>(C40-B40)/B40</f>
        <v>-0.39009593952687927</v>
      </c>
      <c r="K40" s="51">
        <f>D40/C40-1</f>
        <v>-1</v>
      </c>
      <c r="L40" s="52" t="e">
        <f>E40/D40-1</f>
        <v>#DIV/0!</v>
      </c>
      <c r="M40" s="31"/>
      <c r="N40" s="68" t="s">
        <v>144</v>
      </c>
      <c r="O40" s="164">
        <f t="shared" ref="O40:Q40" si="19">SUM(O41:O45)</f>
        <v>4370.2445783000003</v>
      </c>
      <c r="P40" s="164">
        <f t="shared" si="19"/>
        <v>3002.23867096</v>
      </c>
      <c r="Q40" s="164">
        <f t="shared" si="19"/>
        <v>2966.6013756299999</v>
      </c>
      <c r="R40" s="164">
        <f>SUM(R41:R45)</f>
        <v>2934.3902542699998</v>
      </c>
      <c r="S40" s="63">
        <f>O40/$O$75</f>
        <v>0.23703484465293395</v>
      </c>
      <c r="T40" s="63">
        <f>P40/$P$75</f>
        <v>0.18000950678240335</v>
      </c>
      <c r="U40" s="69">
        <f>Q40/$Q$75</f>
        <v>0.17613003564747823</v>
      </c>
      <c r="V40" s="70">
        <f>R40/$R$75</f>
        <v>0.1746901514735307</v>
      </c>
      <c r="W40" s="65">
        <f t="shared" ref="W40:Y45" si="20">P40/O40-1</f>
        <v>-0.31302731067562961</v>
      </c>
      <c r="X40" s="71">
        <f t="shared" si="20"/>
        <v>-1.1870240589035075E-2</v>
      </c>
      <c r="Y40" s="72">
        <f t="shared" si="20"/>
        <v>-1.0857920320744063E-2</v>
      </c>
    </row>
    <row r="41" spans="1:25" s="12" customFormat="1" ht="12.75" customHeight="1" x14ac:dyDescent="0.2">
      <c r="A41" s="45" t="s">
        <v>37</v>
      </c>
      <c r="B41" s="351">
        <v>0.60157172000000014</v>
      </c>
      <c r="C41" s="351">
        <v>0.35434829000000001</v>
      </c>
      <c r="D41" s="351">
        <v>0</v>
      </c>
      <c r="E41" s="328">
        <v>0</v>
      </c>
      <c r="F41" s="77">
        <f>B41/$B$36</f>
        <v>6.7382973038785402E-3</v>
      </c>
      <c r="G41" s="77">
        <f>C41/$C$36</f>
        <v>2.843685390921398E-3</v>
      </c>
      <c r="H41" s="77">
        <f>D41/$D$36</f>
        <v>0</v>
      </c>
      <c r="I41" s="78">
        <f>E41/$E$36</f>
        <v>0</v>
      </c>
      <c r="J41" s="51">
        <f>C41/B41-1</f>
        <v>-0.41096251998016142</v>
      </c>
      <c r="K41" s="51">
        <f>D41/C41-1</f>
        <v>-1</v>
      </c>
      <c r="L41" s="52" t="e">
        <f>E41/D41-1</f>
        <v>#DIV/0!</v>
      </c>
      <c r="M41" s="92"/>
      <c r="N41" s="80" t="str">
        <f>N27</f>
        <v>Cotisations "Maladie" + IJ AMEXA</v>
      </c>
      <c r="O41" s="295">
        <f>'[1]COMPTES NSA OK'!S46+'[1]COMPTES NSA OK'!S47</f>
        <v>1255.61579622</v>
      </c>
      <c r="P41" s="295">
        <f>'[1]COMPTES NSA OK'!T46+'[1]COMPTES NSA OK'!T47</f>
        <v>4.8058407399999998</v>
      </c>
      <c r="Q41" s="295">
        <f>'[1]COMPTES NSA OK'!U46+'[1]COMPTES NSA OK'!U47</f>
        <v>9.7040036199999999</v>
      </c>
      <c r="R41" s="332">
        <f>'[1]COMPTES NSA OK'!V46+'[1]COMPTES NSA OK'!V47</f>
        <v>20.360506970000003</v>
      </c>
      <c r="S41" s="77">
        <f>O41/$O$40</f>
        <v>0.28731018910351858</v>
      </c>
      <c r="T41" s="77">
        <f>P41/$P$40</f>
        <v>1.6007523940337752E-3</v>
      </c>
      <c r="U41" s="83">
        <f>Q41/$Q$40</f>
        <v>3.2710844469082795E-3</v>
      </c>
      <c r="V41" s="84">
        <f>R41/$R$40</f>
        <v>6.9385818537163763E-3</v>
      </c>
      <c r="W41" s="51">
        <f t="shared" si="20"/>
        <v>-0.99617252287326441</v>
      </c>
      <c r="X41" s="85">
        <f t="shared" si="20"/>
        <v>1.0192104035474134</v>
      </c>
      <c r="Y41" s="86">
        <f t="shared" si="20"/>
        <v>1.0981553353954752</v>
      </c>
    </row>
    <row r="42" spans="1:25" ht="12.75" customHeight="1" x14ac:dyDescent="0.2">
      <c r="A42" s="74"/>
      <c r="B42" s="98"/>
      <c r="C42" s="98"/>
      <c r="D42" s="98"/>
      <c r="E42" s="330"/>
      <c r="F42" s="99"/>
      <c r="G42" s="99"/>
      <c r="H42" s="99"/>
      <c r="I42" s="100"/>
      <c r="J42" s="101"/>
      <c r="K42" s="101"/>
      <c r="L42" s="102"/>
      <c r="M42" s="53"/>
      <c r="N42" s="80" t="s">
        <v>30</v>
      </c>
      <c r="O42" s="295">
        <v>8.5225000000000003E-4</v>
      </c>
      <c r="P42" s="295">
        <v>8.5225000000000003E-4</v>
      </c>
      <c r="Q42" s="295">
        <v>1.95766E-3</v>
      </c>
      <c r="R42" s="301">
        <v>2.00089E-3</v>
      </c>
      <c r="S42" s="77">
        <f>O42/$O$40</f>
        <v>1.950119689483192E-7</v>
      </c>
      <c r="T42" s="77">
        <f>P42/$P$40</f>
        <v>2.8387150170425438E-7</v>
      </c>
      <c r="U42" s="83">
        <f>Q42/$Q$40</f>
        <v>6.5989991647740782E-7</v>
      </c>
      <c r="V42" s="84">
        <f>R42/$R$40</f>
        <v>6.8187590150573534E-7</v>
      </c>
      <c r="W42" s="51">
        <f t="shared" si="20"/>
        <v>0</v>
      </c>
      <c r="X42" s="85">
        <f t="shared" si="20"/>
        <v>1.2970489879730125</v>
      </c>
      <c r="Y42" s="86">
        <f t="shared" si="20"/>
        <v>2.2082486233564458E-2</v>
      </c>
    </row>
    <row r="43" spans="1:25" ht="12.75" customHeight="1" x14ac:dyDescent="0.2">
      <c r="A43" s="60" t="s">
        <v>45</v>
      </c>
      <c r="B43" s="90">
        <f>SUM(B44:B48)</f>
        <v>1226.14936928</v>
      </c>
      <c r="C43" s="90">
        <f>SUM(C44:C48)</f>
        <v>1073.1753624799999</v>
      </c>
      <c r="D43" s="165">
        <f>SUM(D44:D48)</f>
        <v>1024.7162281400001</v>
      </c>
      <c r="E43" s="165">
        <f>SUM(E44:E48)</f>
        <v>1104.6694877600003</v>
      </c>
      <c r="F43" s="63">
        <f>B43/$B$57</f>
        <v>6.6491348572079126E-2</v>
      </c>
      <c r="G43" s="63">
        <f>C43/$C$57</f>
        <v>6.6505458606539419E-2</v>
      </c>
      <c r="H43" s="63">
        <f>D43/$D$57</f>
        <v>6.151192495637485E-2</v>
      </c>
      <c r="I43" s="64">
        <f>E43/$E$57</f>
        <v>6.6383828678971787E-2</v>
      </c>
      <c r="J43" s="65">
        <f t="shared" ref="J43:L46" si="21">C43/B43-1</f>
        <v>-0.1247596831451514</v>
      </c>
      <c r="K43" s="65">
        <f t="shared" si="21"/>
        <v>-4.5154907608031203E-2</v>
      </c>
      <c r="L43" s="66">
        <f t="shared" si="21"/>
        <v>7.8024781324217196E-2</v>
      </c>
      <c r="M43" s="104"/>
      <c r="N43" s="80" t="s">
        <v>32</v>
      </c>
      <c r="O43" s="295">
        <v>0</v>
      </c>
      <c r="P43" s="295">
        <v>0</v>
      </c>
      <c r="Q43" s="295">
        <v>0</v>
      </c>
      <c r="R43" s="301">
        <v>0</v>
      </c>
      <c r="S43" s="77">
        <f>O43/$O$40</f>
        <v>0</v>
      </c>
      <c r="T43" s="77">
        <f>P43/$P$40</f>
        <v>0</v>
      </c>
      <c r="U43" s="83">
        <f>Q43/$Q$40</f>
        <v>0</v>
      </c>
      <c r="V43" s="84">
        <f>R43/$R$40</f>
        <v>0</v>
      </c>
      <c r="W43" s="51" t="e">
        <f t="shared" si="20"/>
        <v>#DIV/0!</v>
      </c>
      <c r="X43" s="85" t="e">
        <f t="shared" si="20"/>
        <v>#DIV/0!</v>
      </c>
      <c r="Y43" s="86" t="e">
        <f t="shared" si="20"/>
        <v>#DIV/0!</v>
      </c>
    </row>
    <row r="44" spans="1:25" ht="12.75" customHeight="1" x14ac:dyDescent="0.2">
      <c r="A44" s="45" t="str">
        <f>A37</f>
        <v>"Maladie-Maternité-Invalidité" + IJ AMEXA</v>
      </c>
      <c r="B44" s="348">
        <f>'[1]COMPTES NSA OK'!C49+'[1]COMPTES NSA OK'!C50</f>
        <v>512.19720168000003</v>
      </c>
      <c r="C44" s="348">
        <f>'[1]COMPTES NSA OK'!D49+'[1]COMPTES NSA OK'!D50</f>
        <v>471.76975321999998</v>
      </c>
      <c r="D44" s="348">
        <f>'[1]COMPTES NSA OK'!E49+'[1]COMPTES NSA OK'!E50</f>
        <v>448.04754620000006</v>
      </c>
      <c r="E44" s="349">
        <f>'[1]COMPTES NSA OK'!F49+'[1]COMPTES NSA OK'!F50</f>
        <v>423.92052125000004</v>
      </c>
      <c r="F44" s="77">
        <f>B44/$B$43</f>
        <v>0.41772822668478343</v>
      </c>
      <c r="G44" s="77">
        <f>C44/$C$43</f>
        <v>0.43960173678399372</v>
      </c>
      <c r="H44" s="77">
        <f>D44/$D$43</f>
        <v>0.43724060759071565</v>
      </c>
      <c r="I44" s="78">
        <f>E44/$E$43</f>
        <v>0.38375326371112795</v>
      </c>
      <c r="J44" s="51">
        <f t="shared" si="21"/>
        <v>-7.8929459839683913E-2</v>
      </c>
      <c r="K44" s="51">
        <f t="shared" si="21"/>
        <v>-5.0283441992809541E-2</v>
      </c>
      <c r="L44" s="52">
        <f t="shared" si="21"/>
        <v>-5.3849251390007957E-2</v>
      </c>
      <c r="M44" s="104"/>
      <c r="N44" s="80" t="s">
        <v>34</v>
      </c>
      <c r="O44" s="295">
        <v>0</v>
      </c>
      <c r="P44" s="295">
        <v>0</v>
      </c>
      <c r="Q44" s="295">
        <v>0</v>
      </c>
      <c r="R44" s="301">
        <v>0</v>
      </c>
      <c r="S44" s="77">
        <f>O44/$O$5</f>
        <v>0</v>
      </c>
      <c r="T44" s="77">
        <f>P44/$P$5</f>
        <v>0</v>
      </c>
      <c r="U44" s="83">
        <f>Q44/$Q$5</f>
        <v>0</v>
      </c>
      <c r="V44" s="84">
        <f>R44/$R$5</f>
        <v>0</v>
      </c>
      <c r="W44" s="51" t="e">
        <f t="shared" si="20"/>
        <v>#DIV/0!</v>
      </c>
      <c r="X44" s="85" t="e">
        <f t="shared" si="20"/>
        <v>#DIV/0!</v>
      </c>
      <c r="Y44" s="86" t="e">
        <f t="shared" si="20"/>
        <v>#DIV/0!</v>
      </c>
    </row>
    <row r="45" spans="1:25" ht="12.75" customHeight="1" x14ac:dyDescent="0.2">
      <c r="A45" s="45" t="s">
        <v>31</v>
      </c>
      <c r="B45" s="348">
        <v>146.13116625000001</v>
      </c>
      <c r="C45" s="348">
        <v>135.13697890999998</v>
      </c>
      <c r="D45" s="348">
        <v>142.63413867</v>
      </c>
      <c r="E45" s="349">
        <v>227.13986542000001</v>
      </c>
      <c r="F45" s="77">
        <f>B45/$B$43</f>
        <v>0.11917892706319201</v>
      </c>
      <c r="G45" s="77">
        <f>C45/$C$43</f>
        <v>0.12592255062370428</v>
      </c>
      <c r="H45" s="77">
        <f>D45/$D$43</f>
        <v>0.1391937931234879</v>
      </c>
      <c r="I45" s="78">
        <f>E45/$E$43</f>
        <v>0.20561794087440954</v>
      </c>
      <c r="J45" s="51">
        <f t="shared" si="21"/>
        <v>-7.5235061911373968E-2</v>
      </c>
      <c r="K45" s="51">
        <f t="shared" si="21"/>
        <v>5.5478225282755922E-2</v>
      </c>
      <c r="L45" s="52">
        <f t="shared" si="21"/>
        <v>0.59246494239021863</v>
      </c>
      <c r="M45" s="104"/>
      <c r="N45" s="80" t="s">
        <v>36</v>
      </c>
      <c r="O45" s="295">
        <v>3114.6279298300001</v>
      </c>
      <c r="P45" s="295">
        <v>2997.4319779699999</v>
      </c>
      <c r="Q45" s="295">
        <v>2956.89541435</v>
      </c>
      <c r="R45" s="301">
        <v>2914.02774641</v>
      </c>
      <c r="S45" s="77">
        <f>O45/$O$40</f>
        <v>0.71268961588451241</v>
      </c>
      <c r="T45" s="77">
        <f>P45/$P$40</f>
        <v>0.99839896373446446</v>
      </c>
      <c r="U45" s="83">
        <f>Q45/$Q$40</f>
        <v>0.99672825565317524</v>
      </c>
      <c r="V45" s="84">
        <f>R45/$R$40</f>
        <v>0.99306073627038216</v>
      </c>
      <c r="W45" s="51">
        <f t="shared" si="20"/>
        <v>-3.7627592926130604E-2</v>
      </c>
      <c r="X45" s="85">
        <f t="shared" si="20"/>
        <v>-1.3523764314896325E-2</v>
      </c>
      <c r="Y45" s="86">
        <f t="shared" si="20"/>
        <v>-1.4497525929378696E-2</v>
      </c>
    </row>
    <row r="46" spans="1:25" ht="12.75" customHeight="1" x14ac:dyDescent="0.2">
      <c r="A46" s="45" t="s">
        <v>33</v>
      </c>
      <c r="B46" s="348">
        <v>77.504422519999991</v>
      </c>
      <c r="C46" s="348">
        <v>60.657049000000001</v>
      </c>
      <c r="D46" s="348">
        <v>54.174092299999998</v>
      </c>
      <c r="E46" s="349">
        <v>55.669187379999997</v>
      </c>
      <c r="F46" s="77">
        <f>B46/$B$43</f>
        <v>6.3209609254630136E-2</v>
      </c>
      <c r="G46" s="77">
        <f>C46/$C$43</f>
        <v>5.6521097222943774E-2</v>
      </c>
      <c r="H46" s="77">
        <f>D46/$D$43</f>
        <v>5.2867409349350671E-2</v>
      </c>
      <c r="I46" s="78">
        <f>E46/$E$43</f>
        <v>5.0394428375933061E-2</v>
      </c>
      <c r="J46" s="51">
        <f t="shared" si="21"/>
        <v>-0.21737306042958426</v>
      </c>
      <c r="K46" s="51">
        <f t="shared" si="21"/>
        <v>-0.1068788674503437</v>
      </c>
      <c r="L46" s="52">
        <f t="shared" si="21"/>
        <v>2.7597971955314105E-2</v>
      </c>
      <c r="M46" s="104"/>
      <c r="N46" s="80"/>
      <c r="O46" s="81"/>
      <c r="P46" s="81"/>
      <c r="Q46" s="81"/>
      <c r="R46" s="82"/>
      <c r="S46" s="77"/>
      <c r="T46" s="77"/>
      <c r="U46" s="83"/>
      <c r="V46" s="84"/>
      <c r="W46" s="51"/>
      <c r="X46" s="85"/>
      <c r="Y46" s="86"/>
    </row>
    <row r="47" spans="1:25" x14ac:dyDescent="0.2">
      <c r="A47" s="45" t="s">
        <v>35</v>
      </c>
      <c r="B47" s="346">
        <v>134.37607384999998</v>
      </c>
      <c r="C47" s="346">
        <v>110.51766778</v>
      </c>
      <c r="D47" s="346">
        <v>110.09915205</v>
      </c>
      <c r="E47" s="350">
        <v>122.66410515000001</v>
      </c>
      <c r="F47" s="77">
        <f>B47/$B$5</f>
        <v>8.9981499345566495E-3</v>
      </c>
      <c r="G47" s="77">
        <f>C47/$B$5</f>
        <v>7.4005328226216865E-3</v>
      </c>
      <c r="H47" s="77">
        <f>D47/$B$5</f>
        <v>7.3725079876892858E-3</v>
      </c>
      <c r="I47" s="78">
        <f>E47/$B$5</f>
        <v>8.2138879199581769E-3</v>
      </c>
      <c r="J47" s="51">
        <f>(C47-B47)/B47</f>
        <v>-0.17754951001643654</v>
      </c>
      <c r="K47" s="51">
        <f>D47/C47-1</f>
        <v>-3.7868671897157702E-3</v>
      </c>
      <c r="L47" s="52">
        <f>E47/D47-1</f>
        <v>0.11412397703384491</v>
      </c>
      <c r="N47" s="68" t="s">
        <v>44</v>
      </c>
      <c r="O47" s="164">
        <f>SUM(O48:O52)</f>
        <v>17.867184849999997</v>
      </c>
      <c r="P47" s="164">
        <f>SUM(P48:P52)</f>
        <v>22.065401900000001</v>
      </c>
      <c r="Q47" s="164">
        <f>SUM(Q48:Q52)</f>
        <v>27.165430459999996</v>
      </c>
      <c r="R47" s="164">
        <f>SUM(R48:R52)</f>
        <v>61.789639719999997</v>
      </c>
      <c r="S47" s="63">
        <f>O47/$O$75</f>
        <v>9.6908658301052145E-4</v>
      </c>
      <c r="T47" s="63">
        <f>P47/$P$75</f>
        <v>1.3230067787063776E-3</v>
      </c>
      <c r="U47" s="69">
        <f>Q47/$Q$75</f>
        <v>1.6128382716342543E-3</v>
      </c>
      <c r="V47" s="70">
        <f>R47/$R$75</f>
        <v>3.6784614815546977E-3</v>
      </c>
      <c r="W47" s="65">
        <f t="shared" ref="W47:Y52" si="22">P47/O47-1</f>
        <v>0.23496802015791562</v>
      </c>
      <c r="X47" s="71">
        <f t="shared" si="22"/>
        <v>0.23113236654891822</v>
      </c>
      <c r="Y47" s="72">
        <f t="shared" si="22"/>
        <v>1.2745687689721228</v>
      </c>
    </row>
    <row r="48" spans="1:25" x14ac:dyDescent="0.2">
      <c r="A48" s="45" t="s">
        <v>37</v>
      </c>
      <c r="B48" s="348">
        <v>355.94050497999996</v>
      </c>
      <c r="C48" s="348">
        <v>295.09391356999998</v>
      </c>
      <c r="D48" s="348">
        <v>269.76129892</v>
      </c>
      <c r="E48" s="349">
        <v>275.27580856000003</v>
      </c>
      <c r="F48" s="77">
        <f>B48/$B$43</f>
        <v>0.29029130862662328</v>
      </c>
      <c r="G48" s="77">
        <f>C48/$C$43</f>
        <v>0.27497268749076365</v>
      </c>
      <c r="H48" s="77">
        <f>D48/$D$43</f>
        <v>0.26325463724689285</v>
      </c>
      <c r="I48" s="78">
        <f>E48/$E$43</f>
        <v>0.24919291390784415</v>
      </c>
      <c r="J48" s="51">
        <f>C48/B48-1</f>
        <v>-0.1709459602340534</v>
      </c>
      <c r="K48" s="51">
        <f>D48/C48-1</f>
        <v>-8.5845940851608793E-2</v>
      </c>
      <c r="L48" s="52">
        <f>E48/D48-1</f>
        <v>2.0442182262902842E-2</v>
      </c>
      <c r="N48" s="80" t="str">
        <f>N41</f>
        <v>Cotisations "Maladie" + IJ AMEXA</v>
      </c>
      <c r="O48" s="314">
        <f>'[1]COMPTES NSA OK'!S54+'[1]COMPTES NSA OK'!S55</f>
        <v>0.43129746999999996</v>
      </c>
      <c r="P48" s="314">
        <f>'[1]COMPTES NSA OK'!T54+'[1]COMPTES NSA OK'!T55</f>
        <v>0.66812909000000009</v>
      </c>
      <c r="Q48" s="314">
        <f>'[1]COMPTES NSA OK'!U54+'[1]COMPTES NSA OK'!U55</f>
        <v>1.4067020100000001</v>
      </c>
      <c r="R48" s="329">
        <f>'[1]COMPTES NSA OK'!V54+'[1]COMPTES NSA OK'!V55</f>
        <v>10.698480060000001</v>
      </c>
      <c r="S48" s="77">
        <f>O48/$O$47</f>
        <v>2.4139083667676951E-2</v>
      </c>
      <c r="T48" s="77">
        <f>P48/$P$47</f>
        <v>3.0279488813661718E-2</v>
      </c>
      <c r="U48" s="83">
        <f>Q48/$Q$47</f>
        <v>5.1782798438306077E-2</v>
      </c>
      <c r="V48" s="84">
        <f>R48/$R$47</f>
        <v>0.17314359022775028</v>
      </c>
      <c r="W48" s="51">
        <f t="shared" si="22"/>
        <v>0.54911432705598795</v>
      </c>
      <c r="X48" s="85">
        <f t="shared" si="22"/>
        <v>1.1054344602777286</v>
      </c>
      <c r="Y48" s="86">
        <f t="shared" si="22"/>
        <v>6.6053634557613243</v>
      </c>
    </row>
    <row r="49" spans="1:29" x14ac:dyDescent="0.2">
      <c r="A49" s="45"/>
      <c r="B49" s="91"/>
      <c r="C49" s="91"/>
      <c r="D49" s="91"/>
      <c r="E49" s="326"/>
      <c r="F49" s="77"/>
      <c r="G49" s="77"/>
      <c r="H49" s="77"/>
      <c r="I49" s="78"/>
      <c r="J49" s="51"/>
      <c r="K49" s="51"/>
      <c r="L49" s="52"/>
      <c r="N49" s="80" t="s">
        <v>30</v>
      </c>
      <c r="O49" s="314">
        <v>0.17322567999999999</v>
      </c>
      <c r="P49" s="314">
        <v>0.23641461</v>
      </c>
      <c r="Q49" s="314">
        <v>0.36675923999999999</v>
      </c>
      <c r="R49" s="301">
        <v>1.5063630300000002</v>
      </c>
      <c r="S49" s="77">
        <f>O49/$O$47</f>
        <v>9.6951859766537321E-3</v>
      </c>
      <c r="T49" s="77">
        <f>P49/$P$47</f>
        <v>1.0714267116974652E-2</v>
      </c>
      <c r="U49" s="83">
        <f>Q49/$Q$47</f>
        <v>1.3500954477420788E-2</v>
      </c>
      <c r="V49" s="84">
        <f>R49/$R$47</f>
        <v>2.4378893238835676E-2</v>
      </c>
      <c r="W49" s="51">
        <f t="shared" si="22"/>
        <v>0.3647780744748701</v>
      </c>
      <c r="X49" s="85">
        <f t="shared" si="22"/>
        <v>0.55133914947134599</v>
      </c>
      <c r="Y49" s="86">
        <f t="shared" si="22"/>
        <v>3.1072258465798983</v>
      </c>
    </row>
    <row r="50" spans="1:29" x14ac:dyDescent="0.2">
      <c r="A50" s="60" t="s">
        <v>47</v>
      </c>
      <c r="B50" s="90">
        <f>SUM(B51:B55)</f>
        <v>453.10900563999991</v>
      </c>
      <c r="C50" s="90">
        <f>SUM(C51:C55)</f>
        <v>434.87839291</v>
      </c>
      <c r="D50" s="165">
        <f>SUM(D51:D55)</f>
        <v>534.21964838999997</v>
      </c>
      <c r="E50" s="165">
        <f>SUM(E51:E55)</f>
        <v>502.38554517</v>
      </c>
      <c r="F50" s="63">
        <f>B50/$B$57</f>
        <v>2.4571091899552654E-2</v>
      </c>
      <c r="G50" s="63">
        <f>C50/$C$57</f>
        <v>2.6949730649536215E-2</v>
      </c>
      <c r="H50" s="63">
        <f>D50/$D$57</f>
        <v>3.2068272190471328E-2</v>
      </c>
      <c r="I50" s="64">
        <f>E50/$E$57</f>
        <v>3.0190275309389895E-2</v>
      </c>
      <c r="J50" s="65">
        <f t="shared" ref="J50:L53" si="23">C50/B50-1</f>
        <v>-4.0234496562807975E-2</v>
      </c>
      <c r="K50" s="65">
        <f t="shared" si="23"/>
        <v>0.22843456262624451</v>
      </c>
      <c r="L50" s="66">
        <f t="shared" si="23"/>
        <v>-5.9589914590262194E-2</v>
      </c>
      <c r="N50" s="80" t="s">
        <v>32</v>
      </c>
      <c r="O50" s="314">
        <v>16.905826269999999</v>
      </c>
      <c r="P50" s="314">
        <v>20.271953490000001</v>
      </c>
      <c r="Q50" s="314">
        <v>22.310291789999997</v>
      </c>
      <c r="R50" s="301">
        <v>27.553609949999998</v>
      </c>
      <c r="S50" s="77">
        <f>O50/$O$47</f>
        <v>0.94619417731047883</v>
      </c>
      <c r="T50" s="77">
        <f>P50/$P$47</f>
        <v>0.91872124432050339</v>
      </c>
      <c r="U50" s="83">
        <f>Q50/$Q$47</f>
        <v>0.82127510634705403</v>
      </c>
      <c r="V50" s="84">
        <f>R50/$R$47</f>
        <v>0.44592604965588556</v>
      </c>
      <c r="W50" s="51">
        <f t="shared" si="22"/>
        <v>0.19911048216396954</v>
      </c>
      <c r="X50" s="85">
        <f t="shared" si="22"/>
        <v>0.100549673271769</v>
      </c>
      <c r="Y50" s="86">
        <f t="shared" si="22"/>
        <v>0.23501791053894605</v>
      </c>
    </row>
    <row r="51" spans="1:29" x14ac:dyDescent="0.2">
      <c r="A51" s="45" t="str">
        <f>A44</f>
        <v>"Maladie-Maternité-Invalidité" + IJ AMEXA</v>
      </c>
      <c r="B51" s="348">
        <f>'[1]COMPTES NSA OK'!C57+'[1]COMPTES NSA OK'!C58</f>
        <v>194.84174231999998</v>
      </c>
      <c r="C51" s="348">
        <f>'[1]COMPTES NSA OK'!D57+'[1]COMPTES NSA OK'!D58</f>
        <v>190.59327306</v>
      </c>
      <c r="D51" s="348">
        <f>'[1]COMPTES NSA OK'!E57+'[1]COMPTES NSA OK'!E58</f>
        <v>189.49664781999999</v>
      </c>
      <c r="E51" s="349">
        <f>'[1]COMPTES NSA OK'!F57+'[1]COMPTES NSA OK'!F58</f>
        <v>186.03295477</v>
      </c>
      <c r="F51" s="77">
        <f>B51/$B$50</f>
        <v>0.4300107477334138</v>
      </c>
      <c r="G51" s="77">
        <f>C51/$C$50</f>
        <v>0.43826797598436701</v>
      </c>
      <c r="H51" s="77">
        <f>D51/$D$50</f>
        <v>0.35471673194929076</v>
      </c>
      <c r="I51" s="78">
        <f>E51/$E$50</f>
        <v>0.37029917870556794</v>
      </c>
      <c r="J51" s="51">
        <f t="shared" si="23"/>
        <v>-2.1804718072282792E-2</v>
      </c>
      <c r="K51" s="51">
        <f t="shared" si="23"/>
        <v>-5.7537457770336919E-3</v>
      </c>
      <c r="L51" s="52">
        <f t="shared" si="23"/>
        <v>-1.8278386925820955E-2</v>
      </c>
      <c r="N51" s="80" t="s">
        <v>34</v>
      </c>
      <c r="O51" s="314">
        <v>0.16168924000000001</v>
      </c>
      <c r="P51" s="314">
        <v>0.63772907000000001</v>
      </c>
      <c r="Q51" s="314">
        <v>1.58161079</v>
      </c>
      <c r="R51" s="301">
        <v>2.2111068600000001</v>
      </c>
      <c r="S51" s="77">
        <f>O51/$O$5</f>
        <v>6.54162661343659E-5</v>
      </c>
      <c r="T51" s="77">
        <f>P51/$P$5</f>
        <v>2.5548309958046538E-4</v>
      </c>
      <c r="U51" s="83">
        <f>Q51/$Q$5</f>
        <v>6.2085384403676223E-4</v>
      </c>
      <c r="V51" s="84">
        <f>R51/$R$5</f>
        <v>7.485405243226966E-4</v>
      </c>
      <c r="W51" s="51">
        <f t="shared" si="22"/>
        <v>2.9441651775962332</v>
      </c>
      <c r="X51" s="85">
        <f t="shared" si="22"/>
        <v>1.4800669506880091</v>
      </c>
      <c r="Y51" s="86">
        <f t="shared" si="22"/>
        <v>0.39800946856211072</v>
      </c>
    </row>
    <row r="52" spans="1:29" x14ac:dyDescent="0.2">
      <c r="A52" s="45" t="s">
        <v>31</v>
      </c>
      <c r="B52" s="348">
        <v>30.0843186</v>
      </c>
      <c r="C52" s="348">
        <v>31.40341471</v>
      </c>
      <c r="D52" s="348">
        <v>133.67912658</v>
      </c>
      <c r="E52" s="349">
        <v>101.04234933000001</v>
      </c>
      <c r="F52" s="77">
        <f>B52/$B$50</f>
        <v>6.6395322594630407E-2</v>
      </c>
      <c r="G52" s="77">
        <f>C52/$C$50</f>
        <v>7.2211945274777256E-2</v>
      </c>
      <c r="H52" s="77">
        <f>D52/$D$50</f>
        <v>0.25023251575054262</v>
      </c>
      <c r="I52" s="78">
        <f>E52/$E$50</f>
        <v>0.20112511257824653</v>
      </c>
      <c r="J52" s="51">
        <f t="shared" si="23"/>
        <v>4.3846634106580629E-2</v>
      </c>
      <c r="K52" s="51">
        <f t="shared" si="23"/>
        <v>3.2568340995551566</v>
      </c>
      <c r="L52" s="52">
        <f t="shared" si="23"/>
        <v>-0.24414265775793043</v>
      </c>
      <c r="N52" s="80" t="s">
        <v>36</v>
      </c>
      <c r="O52" s="314">
        <v>0.19514619</v>
      </c>
      <c r="P52" s="314">
        <v>0.25117563999999998</v>
      </c>
      <c r="Q52" s="314">
        <v>1.5000666300000001</v>
      </c>
      <c r="R52" s="301">
        <v>19.82007982</v>
      </c>
      <c r="S52" s="77">
        <f>O52/$O$47</f>
        <v>1.0922044610737881E-2</v>
      </c>
      <c r="T52" s="77">
        <f>P52/$P$47</f>
        <v>1.1383234311268083E-2</v>
      </c>
      <c r="U52" s="83">
        <f>Q52/$Q$47</f>
        <v>5.5219689310971452E-2</v>
      </c>
      <c r="V52" s="84">
        <f>R52/$R$47</f>
        <v>0.32076703974670789</v>
      </c>
      <c r="W52" s="51">
        <f t="shared" si="22"/>
        <v>0.28711526471513471</v>
      </c>
      <c r="X52" s="85">
        <f t="shared" si="22"/>
        <v>4.9721819759272838</v>
      </c>
      <c r="Y52" s="86">
        <f t="shared" si="22"/>
        <v>12.212799634106918</v>
      </c>
    </row>
    <row r="53" spans="1:29" x14ac:dyDescent="0.2">
      <c r="A53" s="45" t="s">
        <v>33</v>
      </c>
      <c r="B53" s="348">
        <v>96.079236379999998</v>
      </c>
      <c r="C53" s="348">
        <v>98.318178200000006</v>
      </c>
      <c r="D53" s="348">
        <v>98.059029899999999</v>
      </c>
      <c r="E53" s="349">
        <v>97.16395052</v>
      </c>
      <c r="F53" s="77">
        <f>B53/$B$50</f>
        <v>0.21204442018161079</v>
      </c>
      <c r="G53" s="77">
        <f>C53/$C$50</f>
        <v>0.22608200315978308</v>
      </c>
      <c r="H53" s="77">
        <f>D53/$D$50</f>
        <v>0.18355564082213111</v>
      </c>
      <c r="I53" s="78">
        <f>E53/$E$50</f>
        <v>0.19340514760853864</v>
      </c>
      <c r="J53" s="51">
        <f t="shared" si="23"/>
        <v>2.330307675578136E-2</v>
      </c>
      <c r="K53" s="51">
        <f t="shared" si="23"/>
        <v>-2.6358126721270914E-3</v>
      </c>
      <c r="L53" s="52">
        <f t="shared" si="23"/>
        <v>-9.1279648688427084E-3</v>
      </c>
      <c r="N53" s="80"/>
      <c r="O53" s="81"/>
      <c r="P53" s="81"/>
      <c r="Q53" s="81"/>
      <c r="R53" s="315"/>
      <c r="S53" s="77"/>
      <c r="T53" s="77"/>
      <c r="U53" s="83"/>
      <c r="V53" s="84"/>
      <c r="W53" s="51"/>
      <c r="X53" s="85"/>
      <c r="Y53" s="86"/>
    </row>
    <row r="54" spans="1:29" x14ac:dyDescent="0.2">
      <c r="A54" s="45" t="s">
        <v>35</v>
      </c>
      <c r="B54" s="346">
        <v>15.368800149999998</v>
      </c>
      <c r="C54" s="346">
        <v>15.314639069999998</v>
      </c>
      <c r="D54" s="346">
        <v>15.19520571</v>
      </c>
      <c r="E54" s="350">
        <v>14.43932577</v>
      </c>
      <c r="F54" s="77">
        <f>B54/$B$5</f>
        <v>1.0291323752940318E-3</v>
      </c>
      <c r="G54" s="77">
        <f>C54/$B$5</f>
        <v>1.0255056171629561E-3</v>
      </c>
      <c r="H54" s="77">
        <f>D54/$B$5</f>
        <v>1.0175080678249133E-3</v>
      </c>
      <c r="I54" s="78">
        <f>E54/$B$5</f>
        <v>9.6689250184077815E-4</v>
      </c>
      <c r="J54" s="51">
        <f>(C54-B54)/B54</f>
        <v>-3.5240929331754041E-3</v>
      </c>
      <c r="K54" s="51">
        <f>D54/C54-1</f>
        <v>-7.7986402065431948E-3</v>
      </c>
      <c r="L54" s="52">
        <f>E54/D54-1</f>
        <v>-4.9744633565740659E-2</v>
      </c>
      <c r="N54" s="68" t="s">
        <v>46</v>
      </c>
      <c r="O54" s="164">
        <f t="shared" ref="O54:Q54" si="24">SUM(O55:O59)</f>
        <v>58.333930530000004</v>
      </c>
      <c r="P54" s="164">
        <f t="shared" si="24"/>
        <v>59.907608959999997</v>
      </c>
      <c r="Q54" s="164">
        <f t="shared" si="24"/>
        <v>176.44104667999997</v>
      </c>
      <c r="R54" s="164">
        <f>SUM(R55:R59)</f>
        <v>126.67854778</v>
      </c>
      <c r="S54" s="63">
        <f>O54/$O$75</f>
        <v>3.1639360025365634E-3</v>
      </c>
      <c r="T54" s="63">
        <f>P54/$P$75</f>
        <v>3.5919659704984081E-3</v>
      </c>
      <c r="U54" s="69">
        <f>Q54/$Q$75</f>
        <v>1.0475478133568659E-2</v>
      </c>
      <c r="V54" s="70">
        <f>R54/$R$75</f>
        <v>7.5414286385163658E-3</v>
      </c>
      <c r="W54" s="65">
        <f t="shared" ref="W54:Y59" si="25">P54/O54-1</f>
        <v>2.6977068332309395E-2</v>
      </c>
      <c r="X54" s="71">
        <f t="shared" si="25"/>
        <v>1.9452193092501613</v>
      </c>
      <c r="Y54" s="72">
        <f t="shared" si="25"/>
        <v>-0.2820347069820498</v>
      </c>
    </row>
    <row r="55" spans="1:29" x14ac:dyDescent="0.2">
      <c r="A55" s="45" t="s">
        <v>37</v>
      </c>
      <c r="B55" s="348">
        <v>116.73490819</v>
      </c>
      <c r="C55" s="348">
        <v>99.248887870000004</v>
      </c>
      <c r="D55" s="348">
        <v>97.78963838</v>
      </c>
      <c r="E55" s="349">
        <v>103.70696477999999</v>
      </c>
      <c r="F55" s="77">
        <f>B55/$B$50</f>
        <v>0.25763096018168125</v>
      </c>
      <c r="G55" s="77">
        <f>C55/$C$50</f>
        <v>0.22822216391546499</v>
      </c>
      <c r="H55" s="77">
        <f>D55/$D$50</f>
        <v>0.18305136974035438</v>
      </c>
      <c r="I55" s="78">
        <f>E55/$E$50</f>
        <v>0.20642903797104087</v>
      </c>
      <c r="J55" s="51">
        <f>C55/B55-1</f>
        <v>-0.14979255640942823</v>
      </c>
      <c r="K55" s="51">
        <f>D55/C55-1</f>
        <v>-1.4702930393652225E-2</v>
      </c>
      <c r="L55" s="52">
        <f>E55/D55-1</f>
        <v>6.0510770854943718E-2</v>
      </c>
      <c r="N55" s="80" t="str">
        <f>N48</f>
        <v>Cotisations "Maladie" + IJ AMEXA</v>
      </c>
      <c r="O55" s="314">
        <f>'[1]COMPTES NSA OK'!S62+'[1]COMPTES NSA OK'!S63</f>
        <v>31.360058540000001</v>
      </c>
      <c r="P55" s="314">
        <f>'[1]COMPTES NSA OK'!T62+'[1]COMPTES NSA OK'!T63</f>
        <v>21.939582939999998</v>
      </c>
      <c r="Q55" s="314">
        <f>'[1]COMPTES NSA OK'!U62+'[1]COMPTES NSA OK'!U63</f>
        <v>27.307187150000001</v>
      </c>
      <c r="R55" s="329">
        <f>'[1]COMPTES NSA OK'!V62+'[1]COMPTES NSA OK'!V63</f>
        <v>20.813725910000002</v>
      </c>
      <c r="S55" s="77">
        <f>O55/$O$54</f>
        <v>0.53759549982444843</v>
      </c>
      <c r="T55" s="77">
        <f>P55/$P$54</f>
        <v>0.36622364539117136</v>
      </c>
      <c r="U55" s="83">
        <f>Q55/$Q$54</f>
        <v>0.15476663545034014</v>
      </c>
      <c r="V55" s="84">
        <f>R55/$R$54</f>
        <v>0.16430347738234866</v>
      </c>
      <c r="W55" s="51">
        <f t="shared" si="25"/>
        <v>-0.30039725812323059</v>
      </c>
      <c r="X55" s="85">
        <f t="shared" si="25"/>
        <v>0.2446538853851159</v>
      </c>
      <c r="Y55" s="86">
        <f t="shared" si="25"/>
        <v>-0.23779312033608702</v>
      </c>
    </row>
    <row r="56" spans="1:29" x14ac:dyDescent="0.2">
      <c r="A56" s="45"/>
      <c r="B56" s="91"/>
      <c r="C56" s="91"/>
      <c r="D56" s="91"/>
      <c r="E56" s="326"/>
      <c r="F56" s="77"/>
      <c r="G56" s="77"/>
      <c r="H56" s="77"/>
      <c r="I56" s="78"/>
      <c r="J56" s="51"/>
      <c r="K56" s="51"/>
      <c r="L56" s="52"/>
      <c r="N56" s="80" t="s">
        <v>30</v>
      </c>
      <c r="O56" s="314">
        <v>7.1149377299999994</v>
      </c>
      <c r="P56" s="314">
        <v>11.70830291</v>
      </c>
      <c r="Q56" s="314">
        <v>17.551524839999999</v>
      </c>
      <c r="R56" s="301">
        <v>11.75926887</v>
      </c>
      <c r="S56" s="77">
        <f>O56/$O$54</f>
        <v>0.12196911240775941</v>
      </c>
      <c r="T56" s="77">
        <f>P56/$P$54</f>
        <v>0.19543932921471752</v>
      </c>
      <c r="U56" s="83">
        <f>Q56/$Q$54</f>
        <v>9.947529313761154E-2</v>
      </c>
      <c r="V56" s="84">
        <f>R56/$R$54</f>
        <v>9.2827626114107942E-2</v>
      </c>
      <c r="W56" s="51">
        <f t="shared" si="25"/>
        <v>0.64559457219592575</v>
      </c>
      <c r="X56" s="85">
        <f t="shared" si="25"/>
        <v>0.49906651501212296</v>
      </c>
      <c r="Y56" s="86">
        <f t="shared" si="25"/>
        <v>-0.3300144017572435</v>
      </c>
    </row>
    <row r="57" spans="1:29" x14ac:dyDescent="0.2">
      <c r="A57" s="106" t="s">
        <v>49</v>
      </c>
      <c r="B57" s="166">
        <f>B5+B27+B29+B36+B43+B50</f>
        <v>18440.735458249997</v>
      </c>
      <c r="C57" s="166">
        <f>C5+C27+C29+C36+C43+C50</f>
        <v>16136.650809810002</v>
      </c>
      <c r="D57" s="166">
        <f>D5+D27+D29+D36+D43+D50</f>
        <v>16658.82231562</v>
      </c>
      <c r="E57" s="166">
        <f>E5+E27+E29+E36+E43+E50</f>
        <v>16640.64139931</v>
      </c>
      <c r="F57" s="108">
        <f>F50+F43+F36+F29+F27+F5</f>
        <v>1.0000000000000002</v>
      </c>
      <c r="G57" s="108">
        <f>G50+G43+G36+G29+G27+G5</f>
        <v>1</v>
      </c>
      <c r="H57" s="108">
        <f>H50+H43+H36+H29+H27+H5</f>
        <v>1</v>
      </c>
      <c r="I57" s="109">
        <f>I50+I43+I36+I29+I27+I5</f>
        <v>1.0000000000000002</v>
      </c>
      <c r="J57" s="110">
        <f t="shared" ref="J57:L58" si="26">C57/B57-1</f>
        <v>-0.12494537724140475</v>
      </c>
      <c r="K57" s="110">
        <f t="shared" si="26"/>
        <v>3.2359348415258005E-2</v>
      </c>
      <c r="L57" s="111">
        <f t="shared" si="26"/>
        <v>-1.0913686433255965E-3</v>
      </c>
      <c r="N57" s="80" t="s">
        <v>32</v>
      </c>
      <c r="O57" s="314">
        <v>11.672844410000002</v>
      </c>
      <c r="P57" s="314">
        <v>13.679659390000001</v>
      </c>
      <c r="Q57" s="314">
        <v>115.06706636999999</v>
      </c>
      <c r="R57" s="301">
        <v>80.928824169999999</v>
      </c>
      <c r="S57" s="77">
        <f>O57/$O$54</f>
        <v>0.20010385557676222</v>
      </c>
      <c r="T57" s="77">
        <f>P57/$P$54</f>
        <v>0.22834594181740486</v>
      </c>
      <c r="U57" s="83">
        <f>Q57/$Q$54</f>
        <v>0.65215588172456207</v>
      </c>
      <c r="V57" s="84">
        <f>R57/$R$54</f>
        <v>0.63885184656953442</v>
      </c>
      <c r="W57" s="51">
        <f t="shared" si="25"/>
        <v>0.17192167645794898</v>
      </c>
      <c r="X57" s="85">
        <f t="shared" si="25"/>
        <v>7.411544694900476</v>
      </c>
      <c r="Y57" s="86">
        <f t="shared" si="25"/>
        <v>-0.29668125969448056</v>
      </c>
    </row>
    <row r="58" spans="1:29" x14ac:dyDescent="0.2">
      <c r="A58" s="112" t="s">
        <v>50</v>
      </c>
      <c r="B58" s="175">
        <f t="shared" ref="B58" si="27">O75-B57</f>
        <v>-3.5956162199981918</v>
      </c>
      <c r="C58" s="175">
        <f>P75-C57</f>
        <v>541.57204976999492</v>
      </c>
      <c r="D58" s="175">
        <f t="shared" ref="D58:E58" si="28">Q75-D57</f>
        <v>184.42287379000118</v>
      </c>
      <c r="E58" s="316">
        <f t="shared" si="28"/>
        <v>157.04427168000257</v>
      </c>
      <c r="F58" s="49"/>
      <c r="G58" s="49"/>
      <c r="H58" s="49"/>
      <c r="I58" s="50"/>
      <c r="J58" s="317">
        <f t="shared" si="26"/>
        <v>-151.62009308943078</v>
      </c>
      <c r="K58" s="317">
        <f t="shared" si="26"/>
        <v>-0.65946751892324329</v>
      </c>
      <c r="L58" s="318">
        <f t="shared" si="26"/>
        <v>-0.14845556599000898</v>
      </c>
      <c r="N58" s="80" t="s">
        <v>34</v>
      </c>
      <c r="O58" s="314">
        <v>7.2699250000000007E-2</v>
      </c>
      <c r="P58" s="314">
        <v>6.2187439999999997E-2</v>
      </c>
      <c r="Q58" s="314">
        <v>6.4879580000000006E-2</v>
      </c>
      <c r="R58" s="301">
        <v>6.1598170000000001E-2</v>
      </c>
      <c r="S58" s="77">
        <f>O58/$O$5</f>
        <v>2.9412677589237231E-5</v>
      </c>
      <c r="T58" s="77">
        <f>P58/$P$5</f>
        <v>2.4913149915173561E-5</v>
      </c>
      <c r="U58" s="83">
        <f>Q58/$Q$5</f>
        <v>2.5468172635880059E-5</v>
      </c>
      <c r="V58" s="84">
        <f>R58/$R$5</f>
        <v>2.085323296817893E-5</v>
      </c>
      <c r="W58" s="51">
        <f t="shared" si="25"/>
        <v>-0.1445931010292405</v>
      </c>
      <c r="X58" s="85">
        <f t="shared" si="25"/>
        <v>4.3290735235282485E-2</v>
      </c>
      <c r="Y58" s="86">
        <f t="shared" si="25"/>
        <v>-5.0576930368538275E-2</v>
      </c>
      <c r="AC58" t="s">
        <v>159</v>
      </c>
    </row>
    <row r="59" spans="1:29" x14ac:dyDescent="0.2">
      <c r="A59" s="113"/>
      <c r="B59" s="114"/>
      <c r="C59" s="114"/>
      <c r="D59" s="115"/>
      <c r="E59" s="114"/>
      <c r="F59" s="104"/>
      <c r="G59" s="104"/>
      <c r="H59" s="104"/>
      <c r="I59" s="116"/>
      <c r="J59" s="117"/>
      <c r="N59" s="80" t="s">
        <v>36</v>
      </c>
      <c r="O59" s="314">
        <v>8.1133906000000007</v>
      </c>
      <c r="P59" s="314">
        <v>12.517876280000001</v>
      </c>
      <c r="Q59" s="314">
        <v>16.450388740000001</v>
      </c>
      <c r="R59" s="301">
        <v>13.11513066</v>
      </c>
      <c r="S59" s="77">
        <f>O59/$O$54</f>
        <v>0.13908527209267069</v>
      </c>
      <c r="T59" s="77">
        <f>P59/$P$54</f>
        <v>0.20895302779248162</v>
      </c>
      <c r="U59" s="83">
        <f>Q59/$Q$54</f>
        <v>9.3234477178289685E-2</v>
      </c>
      <c r="V59" s="84">
        <f>R59/$R$54</f>
        <v>0.10353079420184683</v>
      </c>
      <c r="W59" s="51">
        <f t="shared" si="25"/>
        <v>0.54286621921049871</v>
      </c>
      <c r="X59" s="85">
        <f t="shared" si="25"/>
        <v>0.31415172766030874</v>
      </c>
      <c r="Y59" s="86">
        <f t="shared" si="25"/>
        <v>-0.20274645983837103</v>
      </c>
    </row>
    <row r="60" spans="1:29" x14ac:dyDescent="0.2">
      <c r="A60" s="113"/>
      <c r="B60" s="114"/>
      <c r="C60" s="114"/>
      <c r="D60" s="115"/>
      <c r="E60" s="120"/>
      <c r="F60" s="104"/>
      <c r="G60" s="104"/>
      <c r="H60" s="104"/>
      <c r="I60" s="116"/>
      <c r="J60" s="117"/>
      <c r="N60" s="80"/>
      <c r="O60" s="81"/>
      <c r="P60" s="81"/>
      <c r="Q60" s="81"/>
      <c r="R60" s="315"/>
      <c r="S60" s="77"/>
      <c r="T60" s="77"/>
      <c r="U60" s="83"/>
      <c r="V60" s="84"/>
      <c r="W60" s="51"/>
      <c r="X60" s="85"/>
      <c r="Y60" s="86"/>
    </row>
    <row r="61" spans="1:29" x14ac:dyDescent="0.2">
      <c r="A61" s="113"/>
      <c r="B61" s="196"/>
      <c r="C61" s="196"/>
      <c r="D61" s="115"/>
      <c r="E61" s="120"/>
      <c r="F61" s="104"/>
      <c r="G61" s="104"/>
      <c r="H61" s="104"/>
      <c r="I61" s="116"/>
      <c r="J61" s="117"/>
      <c r="N61" s="68" t="s">
        <v>48</v>
      </c>
      <c r="O61" s="61">
        <f t="shared" ref="O61:Q61" si="29">SUM(O62:O66)</f>
        <v>81.173383410000014</v>
      </c>
      <c r="P61" s="61">
        <f t="shared" si="29"/>
        <v>116.82751639999999</v>
      </c>
      <c r="Q61" s="61">
        <f t="shared" si="29"/>
        <v>0</v>
      </c>
      <c r="R61" s="61">
        <f>SUM(R62:R66)</f>
        <v>0</v>
      </c>
      <c r="S61" s="63">
        <f>O61/$O$75</f>
        <v>4.4027101874529427E-3</v>
      </c>
      <c r="T61" s="63">
        <f>P61/$P$75</f>
        <v>7.0047940589122231E-3</v>
      </c>
      <c r="U61" s="69">
        <f>Q61/$Q$75</f>
        <v>0</v>
      </c>
      <c r="V61" s="70">
        <f>R61/$R$75</f>
        <v>0</v>
      </c>
      <c r="W61" s="65">
        <f t="shared" ref="W61:Y66" si="30">P61/O61-1</f>
        <v>0.43923428459195701</v>
      </c>
      <c r="X61" s="71">
        <f t="shared" si="30"/>
        <v>-1</v>
      </c>
      <c r="Y61" s="72" t="e">
        <f t="shared" si="30"/>
        <v>#DIV/0!</v>
      </c>
    </row>
    <row r="62" spans="1:29" x14ac:dyDescent="0.2">
      <c r="A62" s="113"/>
      <c r="B62" s="198"/>
      <c r="C62" s="198"/>
      <c r="D62" s="115"/>
      <c r="E62" s="120"/>
      <c r="F62" s="104"/>
      <c r="G62" s="104"/>
      <c r="H62" s="104"/>
      <c r="I62" s="116"/>
      <c r="J62" s="117"/>
      <c r="N62" s="80" t="str">
        <f>N55</f>
        <v>Cotisations "Maladie" + IJ AMEXA</v>
      </c>
      <c r="O62" s="314">
        <f>'[1]COMPTES NSA OK'!S70+'[1]COMPTES NSA OK'!S71</f>
        <v>4.6778260000000002E-2</v>
      </c>
      <c r="P62" s="314">
        <f>'[1]COMPTES NSA OK'!T70+'[1]COMPTES NSA OK'!T71</f>
        <v>3.5270170000000003E-2</v>
      </c>
      <c r="Q62" s="314">
        <f>'[1]COMPTES NSA OK'!U70+'[1]COMPTES NSA OK'!U71</f>
        <v>0</v>
      </c>
      <c r="R62" s="329">
        <f>'[1]COMPTES NSA OK'!V70+'[1]COMPTES NSA OK'!V71</f>
        <v>0</v>
      </c>
      <c r="S62" s="77">
        <f>O62/$O$61</f>
        <v>5.7627584356964524E-4</v>
      </c>
      <c r="T62" s="77">
        <f>P62/$P$61</f>
        <v>3.0189951037938871E-4</v>
      </c>
      <c r="U62" s="83" t="e">
        <f>Q62/$Q$61</f>
        <v>#DIV/0!</v>
      </c>
      <c r="V62" s="84" t="e">
        <f>R62/$R$61</f>
        <v>#DIV/0!</v>
      </c>
      <c r="W62" s="51">
        <f t="shared" si="30"/>
        <v>-0.24601363966936773</v>
      </c>
      <c r="X62" s="85">
        <f t="shared" si="30"/>
        <v>-1</v>
      </c>
      <c r="Y62" s="86" t="e">
        <f t="shared" si="30"/>
        <v>#DIV/0!</v>
      </c>
    </row>
    <row r="63" spans="1:29" x14ac:dyDescent="0.2">
      <c r="A63" s="113"/>
      <c r="B63" s="197"/>
      <c r="C63" s="199"/>
      <c r="N63" s="80" t="s">
        <v>30</v>
      </c>
      <c r="O63" s="314">
        <v>1.03024118</v>
      </c>
      <c r="P63" s="314">
        <v>0.68858424000000007</v>
      </c>
      <c r="Q63" s="314">
        <v>0</v>
      </c>
      <c r="R63" s="301">
        <v>0</v>
      </c>
      <c r="S63" s="77">
        <f>O63/$O$61</f>
        <v>1.2691859532284584E-2</v>
      </c>
      <c r="T63" s="77">
        <f>P63/$P$61</f>
        <v>5.8940244663114325E-3</v>
      </c>
      <c r="U63" s="83" t="e">
        <f>Q63/$Q$61</f>
        <v>#DIV/0!</v>
      </c>
      <c r="V63" s="84" t="e">
        <f>R63/$R$61</f>
        <v>#DIV/0!</v>
      </c>
      <c r="W63" s="51">
        <f t="shared" si="30"/>
        <v>-0.33162811449645213</v>
      </c>
      <c r="X63" s="85">
        <f t="shared" si="30"/>
        <v>-1</v>
      </c>
      <c r="Y63" s="86" t="e">
        <f t="shared" si="30"/>
        <v>#DIV/0!</v>
      </c>
    </row>
    <row r="64" spans="1:29" x14ac:dyDescent="0.2">
      <c r="B64" s="122"/>
      <c r="C64" s="123"/>
      <c r="N64" s="80" t="s">
        <v>32</v>
      </c>
      <c r="O64" s="314">
        <v>78.626593150000019</v>
      </c>
      <c r="P64" s="314">
        <v>115.09976282999999</v>
      </c>
      <c r="Q64" s="314">
        <v>0</v>
      </c>
      <c r="R64" s="301">
        <v>0</v>
      </c>
      <c r="S64" s="77">
        <f>O64/$O$61</f>
        <v>0.96862530360307431</v>
      </c>
      <c r="T64" s="77">
        <f>P64/$P$61</f>
        <v>0.98521107335634495</v>
      </c>
      <c r="U64" s="83" t="e">
        <f>Q64/$Q$61</f>
        <v>#DIV/0!</v>
      </c>
      <c r="V64" s="84" t="e">
        <f>R64/$R$61</f>
        <v>#DIV/0!</v>
      </c>
      <c r="W64" s="51">
        <f t="shared" si="30"/>
        <v>0.46387829128521707</v>
      </c>
      <c r="X64" s="85">
        <f t="shared" si="30"/>
        <v>-1</v>
      </c>
      <c r="Y64" s="86" t="e">
        <f t="shared" si="30"/>
        <v>#DIV/0!</v>
      </c>
    </row>
    <row r="65" spans="1:25" x14ac:dyDescent="0.2">
      <c r="A65" s="113"/>
      <c r="B65" s="196"/>
      <c r="C65" s="196"/>
      <c r="N65" s="80" t="s">
        <v>34</v>
      </c>
      <c r="O65" s="314">
        <v>2.8855430000000001E-2</v>
      </c>
      <c r="P65" s="314">
        <v>4.5097869999999998E-2</v>
      </c>
      <c r="Q65" s="314">
        <v>0</v>
      </c>
      <c r="R65" s="301">
        <v>0</v>
      </c>
      <c r="S65" s="77">
        <f>O65/$O$5</f>
        <v>1.1674335832746605E-5</v>
      </c>
      <c r="T65" s="77">
        <f>P65/$P$5</f>
        <v>1.8066831439998308E-5</v>
      </c>
      <c r="U65" s="83">
        <f>Q65/$Q$5</f>
        <v>0</v>
      </c>
      <c r="V65" s="84">
        <f>R65/$R$5</f>
        <v>0</v>
      </c>
      <c r="W65" s="51">
        <f t="shared" si="30"/>
        <v>0.5628902428416418</v>
      </c>
      <c r="X65" s="85">
        <f t="shared" si="30"/>
        <v>-1</v>
      </c>
      <c r="Y65" s="86" t="e">
        <f t="shared" si="30"/>
        <v>#DIV/0!</v>
      </c>
    </row>
    <row r="66" spans="1:25" x14ac:dyDescent="0.2">
      <c r="A66" s="113"/>
      <c r="B66" s="198"/>
      <c r="C66" s="198"/>
      <c r="N66" s="80" t="s">
        <v>36</v>
      </c>
      <c r="O66" s="314">
        <v>1.4409153899999998</v>
      </c>
      <c r="P66" s="314">
        <v>0.95880129000000003</v>
      </c>
      <c r="Q66" s="314">
        <v>0</v>
      </c>
      <c r="R66" s="301">
        <v>0</v>
      </c>
      <c r="S66" s="77">
        <f>O66/$O$61</f>
        <v>1.7751082060015362E-2</v>
      </c>
      <c r="T66" s="77">
        <f>P66/$P$61</f>
        <v>8.2069817072649848E-3</v>
      </c>
      <c r="U66" s="83" t="e">
        <f>Q66/$Q$61</f>
        <v>#DIV/0!</v>
      </c>
      <c r="V66" s="84" t="e">
        <f>R66/$R$61</f>
        <v>#DIV/0!</v>
      </c>
      <c r="W66" s="51">
        <f t="shared" si="30"/>
        <v>-0.33458876443813945</v>
      </c>
      <c r="X66" s="85">
        <f t="shared" si="30"/>
        <v>-1</v>
      </c>
      <c r="Y66" s="86" t="e">
        <f t="shared" si="30"/>
        <v>#DIV/0!</v>
      </c>
    </row>
    <row r="67" spans="1:25" x14ac:dyDescent="0.2">
      <c r="A67" s="113"/>
      <c r="B67" s="197"/>
      <c r="C67" s="199"/>
      <c r="N67" s="80"/>
      <c r="O67" s="81"/>
      <c r="P67" s="81"/>
      <c r="Q67" s="81"/>
      <c r="R67" s="315"/>
      <c r="S67" s="77"/>
      <c r="T67" s="77"/>
      <c r="U67" s="83"/>
      <c r="V67" s="84"/>
      <c r="W67" s="51"/>
      <c r="X67" s="85"/>
      <c r="Y67" s="86"/>
    </row>
    <row r="68" spans="1:25" x14ac:dyDescent="0.2">
      <c r="B68" s="127"/>
      <c r="C68" s="123"/>
      <c r="N68" s="68" t="s">
        <v>51</v>
      </c>
      <c r="O68" s="164">
        <f t="shared" ref="O68:P68" si="31">SUM(O69:O73)</f>
        <v>922.80964382000002</v>
      </c>
      <c r="P68" s="164">
        <f t="shared" si="31"/>
        <v>1217.1753329600001</v>
      </c>
      <c r="Q68" s="164">
        <f>SUM(Q69:Q73)</f>
        <v>1144.23661537</v>
      </c>
      <c r="R68" s="164">
        <f>SUM(R69:R73)</f>
        <v>1074.66987834</v>
      </c>
      <c r="S68" s="63">
        <f>O68/$O$75</f>
        <v>5.0051670255075481E-2</v>
      </c>
      <c r="T68" s="63">
        <f>P68/$P$75</f>
        <v>7.2979917777082154E-2</v>
      </c>
      <c r="U68" s="69">
        <f>Q68/$Q$75</f>
        <v>6.79344510219103E-2</v>
      </c>
      <c r="V68" s="70">
        <f>R68/$R$75</f>
        <v>6.3977258497935827E-2</v>
      </c>
      <c r="W68" s="65">
        <f t="shared" ref="W68:Y73" si="32">P68/O68-1</f>
        <v>0.31898852716955139</v>
      </c>
      <c r="X68" s="71">
        <f t="shared" si="32"/>
        <v>-5.9924577515569122E-2</v>
      </c>
      <c r="Y68" s="72">
        <f t="shared" si="32"/>
        <v>-6.0797509969129027E-2</v>
      </c>
    </row>
    <row r="69" spans="1:25" x14ac:dyDescent="0.2">
      <c r="N69" s="80" t="str">
        <f>N62</f>
        <v>Cotisations "Maladie" + IJ AMEXA</v>
      </c>
      <c r="O69" s="314">
        <f>'[1]COMPTES NSA OK'!S78+'[1]COMPTES NSA OK'!S79</f>
        <v>410.81440177999991</v>
      </c>
      <c r="P69" s="314">
        <f>'[1]COMPTES NSA OK'!T78+'[1]COMPTES NSA OK'!T79</f>
        <v>518.73040925000009</v>
      </c>
      <c r="Q69" s="314">
        <f>'[1]COMPTES NSA OK'!U78+'[1]COMPTES NSA OK'!U79</f>
        <v>483.20024715</v>
      </c>
      <c r="R69" s="329">
        <f>'[1]COMPTES NSA OK'!V78+'[1]COMPTES NSA OK'!V79</f>
        <v>474.01566871</v>
      </c>
      <c r="S69" s="77">
        <f>O69/$O$68</f>
        <v>0.44517783763011032</v>
      </c>
      <c r="T69" s="77">
        <f>P69/$P$68</f>
        <v>0.42617558473561923</v>
      </c>
      <c r="U69" s="83">
        <f>Q69/$Q$68</f>
        <v>0.42229049539177044</v>
      </c>
      <c r="V69" s="84">
        <f>R69/$R$68</f>
        <v>0.44108025940225776</v>
      </c>
      <c r="W69" s="51">
        <f t="shared" si="32"/>
        <v>0.26268798513979941</v>
      </c>
      <c r="X69" s="85">
        <f t="shared" si="32"/>
        <v>-6.8494465461107157E-2</v>
      </c>
      <c r="Y69" s="86">
        <f t="shared" si="32"/>
        <v>-1.9007809896978034E-2</v>
      </c>
    </row>
    <row r="70" spans="1:25" x14ac:dyDescent="0.2">
      <c r="N70" s="80" t="s">
        <v>30</v>
      </c>
      <c r="O70" s="314">
        <v>65.871291039999988</v>
      </c>
      <c r="P70" s="314">
        <v>80.103165300000001</v>
      </c>
      <c r="Q70" s="314">
        <v>127.94261548</v>
      </c>
      <c r="R70" s="301">
        <v>99.775462419999997</v>
      </c>
      <c r="S70" s="77">
        <f>O70/$O$68</f>
        <v>7.1381233910087535E-2</v>
      </c>
      <c r="T70" s="77">
        <f>P70/$P$68</f>
        <v>6.5810703791704617E-2</v>
      </c>
      <c r="U70" s="83">
        <f>Q70/$Q$68</f>
        <v>0.11181482375358921</v>
      </c>
      <c r="V70" s="84">
        <f>R70/$R$68</f>
        <v>9.2842894763291592E-2</v>
      </c>
      <c r="W70" s="51">
        <f t="shared" si="32"/>
        <v>0.21605579661946783</v>
      </c>
      <c r="X70" s="85">
        <f t="shared" si="32"/>
        <v>0.59722296866588365</v>
      </c>
      <c r="Y70" s="86">
        <f t="shared" si="32"/>
        <v>-0.22015458222677253</v>
      </c>
    </row>
    <row r="71" spans="1:25" x14ac:dyDescent="0.2">
      <c r="N71" s="80" t="s">
        <v>32</v>
      </c>
      <c r="O71" s="314">
        <v>86.890690430000006</v>
      </c>
      <c r="P71" s="314">
        <v>110.60471897999999</v>
      </c>
      <c r="Q71" s="314">
        <v>107.73623636000001</v>
      </c>
      <c r="R71" s="301">
        <v>104.25518926000001</v>
      </c>
      <c r="S71" s="77">
        <f>O71/$O$68</f>
        <v>9.4158845230868218E-2</v>
      </c>
      <c r="T71" s="77">
        <f>P71/$P$68</f>
        <v>9.0869997103067132E-2</v>
      </c>
      <c r="U71" s="83">
        <f>Q71/$Q$68</f>
        <v>9.4155557437010054E-2</v>
      </c>
      <c r="V71" s="84">
        <f>R71/$R$68</f>
        <v>9.7011362615875008E-2</v>
      </c>
      <c r="W71" s="51">
        <f t="shared" si="32"/>
        <v>0.27291794359839083</v>
      </c>
      <c r="X71" s="85">
        <f t="shared" si="32"/>
        <v>-2.5934541007410994E-2</v>
      </c>
      <c r="Y71" s="86">
        <f t="shared" si="32"/>
        <v>-3.231082890595971E-2</v>
      </c>
    </row>
    <row r="72" spans="1:25" x14ac:dyDescent="0.2">
      <c r="N72" s="80" t="s">
        <v>34</v>
      </c>
      <c r="O72" s="314">
        <v>94.585703670000001</v>
      </c>
      <c r="P72" s="314">
        <v>130.63544647999998</v>
      </c>
      <c r="Q72" s="314">
        <v>107.33132022999999</v>
      </c>
      <c r="R72" s="301">
        <v>107.32188536999999</v>
      </c>
      <c r="S72" s="77">
        <f>O72/$O$5</f>
        <v>3.8267503538163633E-2</v>
      </c>
      <c r="T72" s="77">
        <f>P72/$P$5</f>
        <v>5.2334369486698153E-2</v>
      </c>
      <c r="U72" s="83">
        <f>Q72/$Q$5</f>
        <v>4.2132402719847528E-2</v>
      </c>
      <c r="V72" s="84">
        <f>R72/$R$5</f>
        <v>3.6332382572482329E-2</v>
      </c>
      <c r="W72" s="51">
        <f t="shared" si="32"/>
        <v>0.38113310374867959</v>
      </c>
      <c r="X72" s="85">
        <f t="shared" si="32"/>
        <v>-0.17839052782330256</v>
      </c>
      <c r="Y72" s="86">
        <f t="shared" si="32"/>
        <v>-8.7904071055744382E-5</v>
      </c>
    </row>
    <row r="73" spans="1:25" x14ac:dyDescent="0.2">
      <c r="N73" s="80" t="s">
        <v>36</v>
      </c>
      <c r="O73" s="314">
        <v>264.64755689999998</v>
      </c>
      <c r="P73" s="314">
        <v>377.10159294999994</v>
      </c>
      <c r="Q73" s="314">
        <v>318.02619614999998</v>
      </c>
      <c r="R73" s="301">
        <v>289.30167258</v>
      </c>
      <c r="S73" s="77">
        <f>O73/$O$68</f>
        <v>0.28678455916919438</v>
      </c>
      <c r="T73" s="77">
        <f>P73/$P$68</f>
        <v>0.30981698588398243</v>
      </c>
      <c r="U73" s="83">
        <f>Q73/$Q$68</f>
        <v>0.27793744045427449</v>
      </c>
      <c r="V73" s="84">
        <f>R73/$R$68</f>
        <v>0.26920050371828869</v>
      </c>
      <c r="W73" s="51">
        <f t="shared" si="32"/>
        <v>0.424919985535676</v>
      </c>
      <c r="X73" s="85">
        <f t="shared" si="32"/>
        <v>-0.15665644989156224</v>
      </c>
      <c r="Y73" s="86">
        <f t="shared" si="32"/>
        <v>-9.0321250003102871E-2</v>
      </c>
    </row>
    <row r="74" spans="1:25" x14ac:dyDescent="0.2">
      <c r="N74" s="128"/>
      <c r="O74" s="129"/>
      <c r="P74" s="129"/>
      <c r="Q74" s="129"/>
      <c r="R74" s="333"/>
      <c r="S74" s="99"/>
      <c r="T74" s="99"/>
      <c r="U74" s="130"/>
      <c r="V74" s="131"/>
      <c r="W74" s="101"/>
      <c r="X74" s="132"/>
      <c r="Y74" s="133"/>
    </row>
    <row r="75" spans="1:25" x14ac:dyDescent="0.2">
      <c r="N75" s="134" t="s">
        <v>52</v>
      </c>
      <c r="O75" s="107">
        <f>O5+O12+O19+O26+O40+O47+O54+O61+O68+O33</f>
        <v>18437.139842029999</v>
      </c>
      <c r="P75" s="107">
        <f>P5+P12+P19+P26+P40+P47+P54+P61+P68+P33</f>
        <v>16678.222859579997</v>
      </c>
      <c r="Q75" s="107">
        <f>Q5+Q12+Q19+Q26+Q40+Q47+Q54+Q61+Q68+Q33</f>
        <v>16843.245189410001</v>
      </c>
      <c r="R75" s="62">
        <f>R5+R12+R19+R26+R40+R47+R54+R61+R68+R33</f>
        <v>16797.685670990002</v>
      </c>
      <c r="S75" s="108">
        <f>S68+S61+S54+S47+S40+S26+S19+S12+S5</f>
        <v>0.70877363655615633</v>
      </c>
      <c r="T75" s="108">
        <f>T68+T61+T54+T47+T40+T26+T19+T12+T5</f>
        <v>0.7301337507308413</v>
      </c>
      <c r="U75" s="135">
        <f>U68+U61+U54+U47+U40+U26+U19+U12+U5</f>
        <v>0.72916251866779491</v>
      </c>
      <c r="V75" s="136">
        <f>V68+V61+V54+V47+V40+V26+V19+V12+V5</f>
        <v>0.73868802153497481</v>
      </c>
      <c r="W75" s="110">
        <f>P75/O75-1</f>
        <v>-9.540075074119192E-2</v>
      </c>
      <c r="X75" s="137">
        <f>Q75/P75-1</f>
        <v>9.8944792391484349E-3</v>
      </c>
      <c r="Y75" s="138">
        <f>R75/Q75-1</f>
        <v>-2.7049133292107452E-3</v>
      </c>
    </row>
    <row r="76" spans="1:25" x14ac:dyDescent="0.2">
      <c r="N76" s="139"/>
      <c r="O76" s="312"/>
      <c r="P76" s="312"/>
      <c r="Q76" s="312"/>
      <c r="R76" s="312"/>
      <c r="S76" s="141"/>
      <c r="T76" s="141"/>
      <c r="U76" s="141"/>
      <c r="V76" s="142"/>
      <c r="W76" s="139"/>
      <c r="X76" s="143"/>
      <c r="Y76" s="144"/>
    </row>
    <row r="77" spans="1:25" x14ac:dyDescent="0.2">
      <c r="N77" s="145"/>
      <c r="Q77" s="140"/>
      <c r="R77" s="140"/>
      <c r="S77" s="141"/>
      <c r="T77" s="141"/>
      <c r="U77" s="141"/>
      <c r="V77" s="142"/>
      <c r="W77" s="145"/>
      <c r="X77" s="143"/>
      <c r="Y77" s="144"/>
    </row>
    <row r="78" spans="1:25" x14ac:dyDescent="0.2">
      <c r="N78" s="334" t="s">
        <v>162</v>
      </c>
      <c r="O78" s="335">
        <v>3022.4783889999999</v>
      </c>
      <c r="P78" s="335">
        <v>2858.193745</v>
      </c>
      <c r="Q78" s="335">
        <v>2768.6531530000002</v>
      </c>
      <c r="R78" s="335">
        <v>2605.616567</v>
      </c>
      <c r="S78" s="341">
        <f>R78/R75</f>
        <v>0.15511759286578156</v>
      </c>
      <c r="W78" s="146"/>
    </row>
    <row r="79" spans="1:25" x14ac:dyDescent="0.2">
      <c r="N79" s="336"/>
      <c r="O79" s="336"/>
      <c r="P79" s="336"/>
      <c r="Q79" s="336"/>
      <c r="R79" s="336"/>
      <c r="S79"/>
      <c r="T79"/>
      <c r="W79" s="146"/>
    </row>
    <row r="80" spans="1:25" x14ac:dyDescent="0.2">
      <c r="N80" s="337"/>
      <c r="O80" s="168"/>
      <c r="P80" s="168"/>
      <c r="Q80" s="168"/>
      <c r="R80" s="168"/>
      <c r="S80"/>
      <c r="T80"/>
      <c r="W80" s="146"/>
    </row>
    <row r="81" spans="14:23" x14ac:dyDescent="0.2">
      <c r="N81" s="336"/>
      <c r="O81" s="148"/>
      <c r="P81" s="148"/>
      <c r="Q81" s="148"/>
      <c r="R81" s="148"/>
      <c r="S81"/>
      <c r="T81"/>
      <c r="W81" s="146"/>
    </row>
    <row r="82" spans="14:23" x14ac:dyDescent="0.2">
      <c r="N82" s="153"/>
      <c r="O82" s="10"/>
      <c r="P82" s="152"/>
      <c r="Q82" s="147"/>
      <c r="R82" s="147"/>
      <c r="S82"/>
      <c r="T82"/>
      <c r="W82" s="146"/>
    </row>
    <row r="83" spans="14:23" x14ac:dyDescent="0.2">
      <c r="N83" s="153"/>
      <c r="O83" s="10"/>
      <c r="P83" s="152"/>
      <c r="S83"/>
      <c r="T83"/>
    </row>
    <row r="84" spans="14:23" x14ac:dyDescent="0.2">
      <c r="N84" s="153"/>
      <c r="O84" s="10"/>
      <c r="P84" s="152"/>
      <c r="S84"/>
      <c r="T84"/>
    </row>
    <row r="85" spans="14:23" x14ac:dyDescent="0.2">
      <c r="N85" s="153"/>
      <c r="O85" s="10"/>
      <c r="P85" s="152"/>
    </row>
    <row r="86" spans="14:23" x14ac:dyDescent="0.2">
      <c r="N86" s="153"/>
      <c r="O86" s="10"/>
      <c r="P86" s="152"/>
    </row>
    <row r="87" spans="14:23" x14ac:dyDescent="0.2">
      <c r="N87" s="153"/>
      <c r="O87" s="10"/>
      <c r="P87" s="152"/>
    </row>
    <row r="88" spans="14:23" x14ac:dyDescent="0.2">
      <c r="N88" s="153"/>
    </row>
    <row r="89" spans="14:23" x14ac:dyDescent="0.2">
      <c r="N89" s="153"/>
    </row>
    <row r="90" spans="14:23" x14ac:dyDescent="0.2">
      <c r="N90" s="153"/>
    </row>
    <row r="92" spans="14:23" x14ac:dyDescent="0.2">
      <c r="O92" s="338"/>
    </row>
    <row r="109" spans="14:15" x14ac:dyDescent="0.2">
      <c r="N109" s="145"/>
      <c r="O109" s="151"/>
    </row>
    <row r="110" spans="14:15" x14ac:dyDescent="0.2">
      <c r="N110" s="145"/>
      <c r="O110" s="151"/>
    </row>
    <row r="111" spans="14:15" x14ac:dyDescent="0.2">
      <c r="N111" s="153"/>
      <c r="O111" s="10"/>
    </row>
    <row r="112" spans="14:15" x14ac:dyDescent="0.2">
      <c r="N112" s="153"/>
      <c r="O112" s="10"/>
    </row>
    <row r="113" spans="14:15" x14ac:dyDescent="0.2">
      <c r="N113" s="153"/>
      <c r="O113" s="10"/>
    </row>
    <row r="114" spans="14:15" x14ac:dyDescent="0.2">
      <c r="N114" s="153"/>
      <c r="O114" s="10"/>
    </row>
    <row r="115" spans="14:15" x14ac:dyDescent="0.2">
      <c r="N115" s="153"/>
      <c r="O115" s="10"/>
    </row>
  </sheetData>
  <protectedRanges>
    <protectedRange sqref="C29:E29 C36:E36 C43:E43 C50:E50 B20:E20" name="Plage1_1_1"/>
    <protectedRange sqref="O11:R11 O18:R18 O32:R32 O46:R46 O53:R53 O60:R60 O67:R67 O6:R6 O27:R27 O48:R48 O55:R55 O62:R62 O20:R25 O13:R13" name="Plage1_3"/>
    <protectedRange sqref="B19:D19 B14:E14" name="Plage1_4"/>
    <protectedRange sqref="E19" name="Plage1_5"/>
    <protectedRange sqref="B21:E21" name="Plage1_6"/>
    <protectedRange sqref="B8:D11" name="Plage1_1"/>
    <protectedRange sqref="E8:E11" name="Plage1_7"/>
    <protectedRange sqref="B15:E18" name="Plage1_8"/>
    <protectedRange sqref="B26:E26" name="Plage1_9"/>
    <protectedRange sqref="B22:E25" name="Plage1_10"/>
    <protectedRange sqref="B31:E34" name="Plage1_11"/>
    <protectedRange sqref="B38:E41" name="Plage1_12"/>
    <protectedRange sqref="B45:E48" name="Plage1_14"/>
    <protectedRange sqref="B52:E55" name="Plage1_15"/>
    <protectedRange sqref="O7:R10" name="Plage1_16"/>
    <protectedRange sqref="O14:R17" name="Plage1_17"/>
    <protectedRange sqref="O34:R39" name="Plage1_19"/>
    <protectedRange sqref="O41:R41" name="Plage1_22"/>
    <protectedRange sqref="O42:R45" name="Plage1_23"/>
    <protectedRange sqref="O49:R52" name="Plage1_24"/>
    <protectedRange sqref="O56:R59" name="Plage1_25"/>
    <protectedRange sqref="O63:R66" name="Plage1_26"/>
    <protectedRange sqref="O70:R71 O73:R73" name="Plage1_27"/>
    <protectedRange sqref="O28:R31" name="Plage1_13"/>
  </protectedRanges>
  <mergeCells count="7">
    <mergeCell ref="A2:A3"/>
    <mergeCell ref="W2:Y2"/>
    <mergeCell ref="F2:I2"/>
    <mergeCell ref="S2:V2"/>
    <mergeCell ref="J2:L2"/>
    <mergeCell ref="B2:E2"/>
    <mergeCell ref="O2:R2"/>
  </mergeCells>
  <phoneticPr fontId="2" type="noConversion"/>
  <printOptions horizontalCentered="1" verticalCentered="1"/>
  <pageMargins left="0.27" right="0.19685039370078741" top="0.35" bottom="0.25" header="0.51181102362204722" footer="0.51181102362204722"/>
  <pageSetup paperSize="9" scale="75" orientation="landscape" cellComments="asDisplayed" r:id="rId1"/>
  <headerFooter alignWithMargins="0">
    <oddHeader>&amp;CCOMPTES CONSOLIDES DU REGIME DES SALARIES AGRICOLES (en millions d'euros)
selon le rapport de la commission des comptes de la Sécurité sociale (sept. 2010)
CHIFFRES UTILES - BUDGET 2011</oddHeader>
    <oddFooter>&amp;L&amp;Z&amp;F
&amp;D&amp;R&amp;P/&amp;N</oddFooter>
  </headerFooter>
  <colBreaks count="1" manualBreakCount="1">
    <brk id="12" max="1048575" man="1"/>
  </colBreaks>
  <ignoredErrors>
    <ignoredError sqref="F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M58"/>
  <sheetViews>
    <sheetView zoomScale="90" zoomScaleNormal="90" workbookViewId="0"/>
  </sheetViews>
  <sheetFormatPr baseColWidth="10" defaultRowHeight="12.75" x14ac:dyDescent="0.2"/>
  <cols>
    <col min="1" max="1" width="48.85546875" customWidth="1"/>
    <col min="2" max="3" width="14.85546875" bestFit="1" customWidth="1"/>
    <col min="4" max="4" width="13.5703125" bestFit="1" customWidth="1"/>
    <col min="5" max="5" width="17.5703125" bestFit="1" customWidth="1"/>
    <col min="6" max="6" width="14.140625" bestFit="1" customWidth="1"/>
    <col min="7" max="7" width="2" customWidth="1"/>
    <col min="8" max="8" width="27.7109375" bestFit="1" customWidth="1"/>
    <col min="9" max="9" width="8.7109375" bestFit="1" customWidth="1"/>
    <col min="10" max="10" width="6" bestFit="1" customWidth="1"/>
    <col min="11" max="11" width="7.42578125" bestFit="1" customWidth="1"/>
    <col min="12" max="12" width="6.28515625" customWidth="1"/>
  </cols>
  <sheetData>
    <row r="1" spans="1:13" ht="36.75" thickBot="1" x14ac:dyDescent="0.25">
      <c r="A1" s="446" t="s">
        <v>192</v>
      </c>
      <c r="B1" s="447" t="s">
        <v>163</v>
      </c>
      <c r="C1" s="447" t="s">
        <v>170</v>
      </c>
      <c r="D1" s="447" t="s">
        <v>171</v>
      </c>
      <c r="E1" s="448" t="s">
        <v>169</v>
      </c>
      <c r="F1" s="449" t="s">
        <v>5</v>
      </c>
      <c r="G1" s="1"/>
    </row>
    <row r="2" spans="1:13" ht="13.5" thickBot="1" x14ac:dyDescent="0.25">
      <c r="A2" s="450" t="s">
        <v>0</v>
      </c>
      <c r="B2" s="451">
        <f>'COMPTES NSA (Chiffres Utiles)'!D57</f>
        <v>16658.82231562</v>
      </c>
      <c r="C2" s="451">
        <f>'COMPTES NSA (Chiffres Utiles)'!E57</f>
        <v>16640.64139931</v>
      </c>
      <c r="D2" s="451"/>
      <c r="E2" s="452">
        <f t="shared" ref="E2:E10" si="0">(C2-B2)/B2</f>
        <v>-1.091368643325611E-3</v>
      </c>
      <c r="F2" s="453">
        <f>(B2/$B$2)*E2*100</f>
        <v>-0.1091368643325611</v>
      </c>
      <c r="G2" s="1"/>
      <c r="H2" s="357" t="s">
        <v>191</v>
      </c>
      <c r="M2" s="224" t="s">
        <v>112</v>
      </c>
    </row>
    <row r="3" spans="1:13" x14ac:dyDescent="0.2">
      <c r="A3" s="454" t="s">
        <v>1</v>
      </c>
      <c r="B3" s="455">
        <f>SUM(B4:B9)</f>
        <v>14285.787028759998</v>
      </c>
      <c r="C3" s="456">
        <f>SUM(C4:C9)</f>
        <v>14352.601921060001</v>
      </c>
      <c r="D3" s="457">
        <f>C3/C2</f>
        <v>0.8625029274205217</v>
      </c>
      <c r="E3" s="458">
        <f>(C3-B3)/B3</f>
        <v>4.6770186455595032E-3</v>
      </c>
      <c r="F3" s="459">
        <f>(B3/$B$3)*E3*100</f>
        <v>0.46770186455595031</v>
      </c>
      <c r="G3" s="1"/>
      <c r="H3" s="189"/>
    </row>
    <row r="4" spans="1:13" x14ac:dyDescent="0.2">
      <c r="A4" s="460" t="s">
        <v>193</v>
      </c>
      <c r="B4" s="461">
        <f>[3]Vieillesse!$H$11</f>
        <v>6670.173006009999</v>
      </c>
      <c r="C4" s="462">
        <f>[3]Vieillesse!$I$11</f>
        <v>6646.4055784800003</v>
      </c>
      <c r="D4" s="463">
        <f>C4/$C$3</f>
        <v>0.46308018678672691</v>
      </c>
      <c r="E4" s="464">
        <f t="shared" ref="E4:E9" si="1">(C4-B4)/B4</f>
        <v>-3.5632400401884095E-3</v>
      </c>
      <c r="F4" s="465">
        <f>(B4/$B$3)*E4*100</f>
        <v>-0.16637114554592178</v>
      </c>
      <c r="G4" s="9"/>
    </row>
    <row r="5" spans="1:13" x14ac:dyDescent="0.2">
      <c r="A5" s="466" t="s">
        <v>194</v>
      </c>
      <c r="B5" s="467">
        <f>[3]Maladie!$H$12</f>
        <v>6063.3606267700006</v>
      </c>
      <c r="C5" s="468">
        <f>[3]Maladie!$I$12</f>
        <v>6119.5749878300012</v>
      </c>
      <c r="D5" s="463">
        <f>C5/$C$3</f>
        <v>0.42637390916908008</v>
      </c>
      <c r="E5" s="469">
        <f t="shared" si="1"/>
        <v>9.2711558029076671E-3</v>
      </c>
      <c r="F5" s="465">
        <f>(B5/$B$3)*E5*100</f>
        <v>0.39349852372032701</v>
      </c>
      <c r="G5" s="9"/>
    </row>
    <row r="6" spans="1:13" x14ac:dyDescent="0.2">
      <c r="A6" s="470" t="s">
        <v>195</v>
      </c>
      <c r="B6" s="471">
        <f>[3]RCO!$H$11</f>
        <v>1038.6704697499999</v>
      </c>
      <c r="C6" s="472">
        <f>[3]RCO!$I$11</f>
        <v>1057.9384357900001</v>
      </c>
      <c r="D6" s="473">
        <f>C6/$C$3</f>
        <v>7.371056771508834E-2</v>
      </c>
      <c r="E6" s="474">
        <f t="shared" si="1"/>
        <v>1.8550605414475486E-2</v>
      </c>
      <c r="F6" s="465">
        <f>(B6/$B$3)*E6*100</f>
        <v>0.13487507549433625</v>
      </c>
      <c r="G6" s="9"/>
    </row>
    <row r="7" spans="1:13" x14ac:dyDescent="0.2">
      <c r="A7" s="466" t="s">
        <v>196</v>
      </c>
      <c r="B7" s="467">
        <f>[3]Famille!$H$11</f>
        <v>314.95669365999998</v>
      </c>
      <c r="C7" s="468">
        <f>[3]Famille!$I$11</f>
        <v>324.95784235999997</v>
      </c>
      <c r="D7" s="463">
        <f>C7/$C$3</f>
        <v>2.264104056862189E-2</v>
      </c>
      <c r="E7" s="469">
        <f t="shared" si="1"/>
        <v>3.175404397277666E-2</v>
      </c>
      <c r="F7" s="465">
        <f>(B7/$B$3)*E7*100</f>
        <v>7.0007684419946759E-2</v>
      </c>
      <c r="G7" s="9"/>
      <c r="H7" s="358" t="s">
        <v>100</v>
      </c>
    </row>
    <row r="8" spans="1:13" x14ac:dyDescent="0.2">
      <c r="A8" s="466" t="s">
        <v>197</v>
      </c>
      <c r="B8" s="467">
        <f>[3]AT!$H$11</f>
        <v>128.67936637</v>
      </c>
      <c r="C8" s="468">
        <f>[3]AT!$I$11</f>
        <v>132.37947553000001</v>
      </c>
      <c r="D8" s="463">
        <f t="shared" ref="D8" si="2">C8/$C$3</f>
        <v>9.2233781901075139E-3</v>
      </c>
      <c r="E8" s="469">
        <f t="shared" si="1"/>
        <v>2.8754486942070036E-2</v>
      </c>
      <c r="F8" s="475">
        <f t="shared" ref="F8" si="3">(B8/$B$3)*E8*100</f>
        <v>2.5900632233638858E-2</v>
      </c>
      <c r="G8" s="9"/>
      <c r="H8" s="11">
        <f>B4+B5+B7+B8</f>
        <v>13177.169692809999</v>
      </c>
      <c r="I8" s="11">
        <f>C4+C5+C7+C8</f>
        <v>13223.317884200002</v>
      </c>
      <c r="J8" s="156">
        <f>I8/C3</f>
        <v>0.92131851471453641</v>
      </c>
      <c r="K8" s="183">
        <f>I8/H8-1</f>
        <v>3.5021322837773816E-3</v>
      </c>
      <c r="L8" s="11">
        <f>F4+F5+F7+F8</f>
        <v>0.32303569482799083</v>
      </c>
    </row>
    <row r="9" spans="1:13" ht="13.5" thickBot="1" x14ac:dyDescent="0.25">
      <c r="A9" s="476" t="s">
        <v>198</v>
      </c>
      <c r="B9" s="467">
        <f>'[3]IJ AMEXA'!$G$12</f>
        <v>69.946866200000002</v>
      </c>
      <c r="C9" s="468">
        <f>'[3]IJ AMEXA'!$H$12</f>
        <v>71.345601070000001</v>
      </c>
      <c r="D9" s="463">
        <f>C9/$C$3</f>
        <v>4.970917570375339E-3</v>
      </c>
      <c r="E9" s="469">
        <f t="shared" si="1"/>
        <v>1.9997105602995526E-2</v>
      </c>
      <c r="F9" s="477">
        <f>(B9/$B$3)*E9*100</f>
        <v>9.7910942336189109E-3</v>
      </c>
      <c r="G9" s="9"/>
    </row>
    <row r="10" spans="1:13" ht="13.5" thickBot="1" x14ac:dyDescent="0.25">
      <c r="A10" s="3" t="s">
        <v>2</v>
      </c>
      <c r="B10" s="5">
        <f>'COMPTES NSA (Chiffres Utiles)'!Q75</f>
        <v>16843.245189410001</v>
      </c>
      <c r="C10" s="320">
        <f>'COMPTES NSA (Chiffres Utiles)'!R75</f>
        <v>16797.685670990002</v>
      </c>
      <c r="D10" s="5"/>
      <c r="E10" s="176">
        <f t="shared" si="0"/>
        <v>-2.7049133292107062E-3</v>
      </c>
      <c r="F10" s="187">
        <f>(B10/B10)*E10*100</f>
        <v>-0.27049133292107064</v>
      </c>
      <c r="G10" s="1"/>
    </row>
    <row r="11" spans="1:13" x14ac:dyDescent="0.2">
      <c r="A11" s="454" t="s">
        <v>6</v>
      </c>
      <c r="B11" s="455">
        <f>SUM(B12:B17)</f>
        <v>2546.7103734900002</v>
      </c>
      <c r="C11" s="455">
        <f>SUM(C12:C17)</f>
        <v>2953.8906554199998</v>
      </c>
      <c r="D11" s="457">
        <f>C11/C10</f>
        <v>0.17585104955984732</v>
      </c>
      <c r="E11" s="478">
        <f>(C11-B11)/B11</f>
        <v>0.1598848012591246</v>
      </c>
      <c r="F11" s="479">
        <f>(B11/B11)*E11*100</f>
        <v>15.98848012591246</v>
      </c>
      <c r="G11" s="168"/>
      <c r="H11" s="168"/>
    </row>
    <row r="12" spans="1:13" x14ac:dyDescent="0.2">
      <c r="A12" s="466" t="s">
        <v>193</v>
      </c>
      <c r="B12" s="467">
        <f>[3]Vieillesse!$H$106</f>
        <v>1258.6198170999999</v>
      </c>
      <c r="C12" s="468">
        <f>[3]Vieillesse!$I$106</f>
        <v>1423.0053414799997</v>
      </c>
      <c r="D12" s="463">
        <f>C12/$C$11</f>
        <v>0.48173934227015908</v>
      </c>
      <c r="E12" s="469">
        <f>(C12-B12)/B12</f>
        <v>0.13060776745019193</v>
      </c>
      <c r="F12" s="477">
        <f>(B12/B11)*E12*100</f>
        <v>6.4548181878541095</v>
      </c>
      <c r="G12" s="9"/>
    </row>
    <row r="13" spans="1:13" x14ac:dyDescent="0.2">
      <c r="A13" s="466" t="s">
        <v>195</v>
      </c>
      <c r="B13" s="467">
        <f>[3]RCO!$H$66</f>
        <v>470.07117010000002</v>
      </c>
      <c r="C13" s="468">
        <f>[3]RCO!$I$66</f>
        <v>524.13102487999993</v>
      </c>
      <c r="D13" s="463">
        <f>C13/$C$11</f>
        <v>0.17743751750535811</v>
      </c>
      <c r="E13" s="469">
        <f>(C13-B13)/B13</f>
        <v>0.11500355311834919</v>
      </c>
      <c r="F13" s="477">
        <f>(B13/$B$11)*E13*100</f>
        <v>2.1227327356395276</v>
      </c>
      <c r="G13" s="9"/>
    </row>
    <row r="14" spans="1:13" x14ac:dyDescent="0.2">
      <c r="A14" s="466" t="s">
        <v>199</v>
      </c>
      <c r="B14" s="467">
        <f>[3]Maladie!$H$156</f>
        <v>457.67057166999996</v>
      </c>
      <c r="C14" s="468">
        <f>[3]Maladie!$I$156</f>
        <v>572.34634403999996</v>
      </c>
      <c r="D14" s="463">
        <f t="shared" ref="D14:D17" si="4">C14/$C$11</f>
        <v>0.1937601661015515</v>
      </c>
      <c r="E14" s="469">
        <f t="shared" ref="E14:E20" si="5">(C14-B14)/B14</f>
        <v>0.2505640071013483</v>
      </c>
      <c r="F14" s="477">
        <f>(B14/B11)*E14*100</f>
        <v>4.502898074461795</v>
      </c>
      <c r="G14" s="9"/>
    </row>
    <row r="15" spans="1:13" x14ac:dyDescent="0.2">
      <c r="A15" s="466" t="s">
        <v>196</v>
      </c>
      <c r="B15" s="467">
        <f>[3]Famille!$H$98</f>
        <v>104.52643218999999</v>
      </c>
      <c r="C15" s="468">
        <f>[3]Famille!$I$98</f>
        <v>149.38287507999999</v>
      </c>
      <c r="D15" s="463">
        <f>C15/$C$11</f>
        <v>5.0571565608192745E-2</v>
      </c>
      <c r="E15" s="469">
        <f>(C15-B15)/B15</f>
        <v>0.42913971088636654</v>
      </c>
      <c r="F15" s="477">
        <f>(B15/B11)*E15*100</f>
        <v>1.7613484186083133</v>
      </c>
      <c r="G15" s="9"/>
      <c r="H15" s="359" t="s">
        <v>100</v>
      </c>
    </row>
    <row r="16" spans="1:13" x14ac:dyDescent="0.2">
      <c r="A16" s="466" t="s">
        <v>197</v>
      </c>
      <c r="B16" s="467">
        <f>[3]AT!$H$97</f>
        <v>187.50811718999998</v>
      </c>
      <c r="C16" s="468">
        <f>[3]AT!$I$97</f>
        <v>209.9534434</v>
      </c>
      <c r="D16" s="463">
        <f>C16/$C$11</f>
        <v>7.1076917832000014E-2</v>
      </c>
      <c r="E16" s="469">
        <f>(C16-B16)/B16</f>
        <v>0.11970322429965209</v>
      </c>
      <c r="F16" s="477">
        <f>(B16/B11)*E16*100</f>
        <v>0.88134585085311634</v>
      </c>
      <c r="G16" s="9"/>
      <c r="H16" s="11">
        <f>B12+B14+B15+B16</f>
        <v>2008.3249381499998</v>
      </c>
      <c r="I16" s="11">
        <f>C12+C14+C15+C16</f>
        <v>2354.6880039999996</v>
      </c>
      <c r="J16" s="156">
        <f>I16/C11</f>
        <v>0.79714799181190332</v>
      </c>
      <c r="K16" s="183">
        <f>I16/H16-1</f>
        <v>0.17246365828084453</v>
      </c>
      <c r="L16" s="188">
        <f>F12+F14+F15+F16</f>
        <v>13.600410531777335</v>
      </c>
    </row>
    <row r="17" spans="1:13" x14ac:dyDescent="0.2">
      <c r="A17" s="466" t="s">
        <v>198</v>
      </c>
      <c r="B17" s="467">
        <f>'[3]IJ AMEXA'!$G$61</f>
        <v>68.314265239999997</v>
      </c>
      <c r="C17" s="468">
        <f>'[3]IJ AMEXA'!$H$61</f>
        <v>75.071626539999997</v>
      </c>
      <c r="D17" s="463">
        <f t="shared" si="4"/>
        <v>2.541449068273853E-2</v>
      </c>
      <c r="E17" s="469">
        <f t="shared" si="5"/>
        <v>9.8915816136793747E-2</v>
      </c>
      <c r="F17" s="477">
        <f>(B17/$B$11)*E17*100</f>
        <v>0.26533685849560285</v>
      </c>
      <c r="G17" s="9"/>
    </row>
    <row r="18" spans="1:13" x14ac:dyDescent="0.2">
      <c r="A18" s="480" t="s">
        <v>3</v>
      </c>
      <c r="B18" s="467">
        <f>'COMPTES NSA (Chiffres Utiles)'!Q26</f>
        <v>4868.3526247</v>
      </c>
      <c r="C18" s="467">
        <f>'COMPTES NSA (Chiffres Utiles)'!R26</f>
        <v>4717.54026221</v>
      </c>
      <c r="D18" s="463">
        <f>C18/C10</f>
        <v>0.28084465649677581</v>
      </c>
      <c r="E18" s="481">
        <f t="shared" si="5"/>
        <v>-3.097810986920722E-2</v>
      </c>
      <c r="F18" s="482"/>
      <c r="G18" s="9"/>
    </row>
    <row r="19" spans="1:13" x14ac:dyDescent="0.2">
      <c r="A19" s="483" t="s">
        <v>63</v>
      </c>
      <c r="B19" s="461">
        <f>SUM(B25:B29)</f>
        <v>2644</v>
      </c>
      <c r="C19" s="461">
        <f>SUM(C25:C29)</f>
        <v>2605.616567</v>
      </c>
      <c r="D19" s="463">
        <f>C19/C10</f>
        <v>0.15511759286578156</v>
      </c>
      <c r="E19" s="484">
        <f t="shared" si="5"/>
        <v>-1.4517183434190608E-2</v>
      </c>
      <c r="F19" s="485"/>
      <c r="G19" s="9"/>
    </row>
    <row r="20" spans="1:13" ht="13.5" thickBot="1" x14ac:dyDescent="0.25">
      <c r="A20" s="486" t="s">
        <v>12</v>
      </c>
      <c r="B20" s="487">
        <f>'COMPTES NSA (Chiffres Utiles)'!Q12</f>
        <v>34.574939880000002</v>
      </c>
      <c r="C20" s="487">
        <f>'COMPTES NSA (Chiffres Utiles)'!R12</f>
        <v>30.481987499999999</v>
      </c>
      <c r="D20" s="488">
        <f>C20/C10</f>
        <v>1.8146540003807256E-3</v>
      </c>
      <c r="E20" s="484">
        <f t="shared" si="5"/>
        <v>-0.11837916115560873</v>
      </c>
      <c r="F20" s="489"/>
      <c r="G20" s="9"/>
    </row>
    <row r="21" spans="1:13" ht="13.5" thickBot="1" x14ac:dyDescent="0.25">
      <c r="A21" s="490" t="s">
        <v>4</v>
      </c>
      <c r="B21" s="491">
        <f>B10-B2</f>
        <v>184.42287379000118</v>
      </c>
      <c r="C21" s="491">
        <f>C10-C2</f>
        <v>157.04427168000257</v>
      </c>
      <c r="D21" s="492"/>
      <c r="E21" s="493">
        <f>(C21-B21)/B21</f>
        <v>-0.14845556599000895</v>
      </c>
      <c r="F21" s="494" t="s">
        <v>7</v>
      </c>
      <c r="G21" s="9"/>
    </row>
    <row r="22" spans="1:13" x14ac:dyDescent="0.2">
      <c r="A22" s="219"/>
      <c r="B22" s="220"/>
      <c r="C22" s="220"/>
      <c r="D22" s="1"/>
      <c r="E22" s="1"/>
      <c r="F22" s="1"/>
      <c r="M22" s="224" t="s">
        <v>17</v>
      </c>
    </row>
    <row r="23" spans="1:13" x14ac:dyDescent="0.2">
      <c r="A23" s="221"/>
      <c r="B23" s="269"/>
      <c r="C23" s="269"/>
      <c r="D23" s="290"/>
      <c r="E23" s="1"/>
      <c r="F23" s="1"/>
    </row>
    <row r="24" spans="1:13" x14ac:dyDescent="0.2">
      <c r="A24" s="1"/>
      <c r="B24" s="302">
        <v>2022</v>
      </c>
      <c r="C24" s="302">
        <v>2023</v>
      </c>
      <c r="D24" s="290">
        <f>C11/C10</f>
        <v>0.17585104955984732</v>
      </c>
      <c r="E24" s="290">
        <f>B11/B10</f>
        <v>0.15120069469102163</v>
      </c>
      <c r="F24" s="1"/>
    </row>
    <row r="25" spans="1:13" x14ac:dyDescent="0.2">
      <c r="A25" s="4" t="s">
        <v>8</v>
      </c>
      <c r="B25" s="303">
        <v>0</v>
      </c>
      <c r="C25" s="303">
        <v>0</v>
      </c>
      <c r="D25" s="291"/>
    </row>
    <row r="26" spans="1:13" x14ac:dyDescent="0.2">
      <c r="A26" s="4" t="s">
        <v>9</v>
      </c>
      <c r="B26" s="303">
        <v>0</v>
      </c>
      <c r="C26" s="303">
        <v>0</v>
      </c>
    </row>
    <row r="27" spans="1:13" x14ac:dyDescent="0.2">
      <c r="A27" s="4" t="s">
        <v>10</v>
      </c>
      <c r="B27" s="303">
        <v>0</v>
      </c>
      <c r="C27" s="303">
        <v>0</v>
      </c>
    </row>
    <row r="28" spans="1:13" x14ac:dyDescent="0.2">
      <c r="A28" s="4" t="s">
        <v>11</v>
      </c>
      <c r="B28" s="303">
        <f>[3]Vieillesse!$H$147</f>
        <v>2644</v>
      </c>
      <c r="C28" s="303">
        <f>[3]Vieillesse!$I$147</f>
        <v>2605.616567</v>
      </c>
    </row>
    <row r="29" spans="1:13" x14ac:dyDescent="0.2">
      <c r="A29" s="4" t="s">
        <v>14</v>
      </c>
      <c r="B29" s="303">
        <v>0</v>
      </c>
      <c r="C29" s="303">
        <v>0</v>
      </c>
      <c r="D29" s="10"/>
    </row>
    <row r="30" spans="1:13" x14ac:dyDescent="0.2">
      <c r="A30" s="171" t="s">
        <v>64</v>
      </c>
      <c r="B30" s="304">
        <f>[3]Maladie!$H$214</f>
        <v>9.7040036199999999</v>
      </c>
      <c r="C30" s="304">
        <f>[3]Maladie!$I$214</f>
        <v>20.360506970000003</v>
      </c>
      <c r="D30" s="150"/>
    </row>
    <row r="31" spans="1:13" x14ac:dyDescent="0.2">
      <c r="A31" s="171" t="s">
        <v>65</v>
      </c>
      <c r="B31" s="304">
        <f>[3]AT!$H$121</f>
        <v>0</v>
      </c>
      <c r="C31" s="304">
        <f>[3]AT!$I$121</f>
        <v>0</v>
      </c>
    </row>
    <row r="32" spans="1:13" x14ac:dyDescent="0.2">
      <c r="A32" s="171" t="s">
        <v>66</v>
      </c>
      <c r="B32" s="304">
        <v>0</v>
      </c>
      <c r="C32" s="304">
        <v>0</v>
      </c>
    </row>
    <row r="33" spans="1:10" x14ac:dyDescent="0.2">
      <c r="A33" s="171" t="s">
        <v>67</v>
      </c>
      <c r="B33" s="304">
        <f>[3]Vieillesse!$H$150</f>
        <v>31.4634958</v>
      </c>
      <c r="C33" s="304">
        <f>[3]Vieillesse!$I$150</f>
        <v>29.999302530000001</v>
      </c>
    </row>
    <row r="34" spans="1:10" x14ac:dyDescent="0.2">
      <c r="A34" s="171" t="s">
        <v>68</v>
      </c>
      <c r="B34" s="304">
        <v>0</v>
      </c>
      <c r="C34" s="304">
        <v>0</v>
      </c>
    </row>
    <row r="35" spans="1:10" x14ac:dyDescent="0.2">
      <c r="A35" s="173" t="s">
        <v>69</v>
      </c>
      <c r="B35" s="305">
        <v>0</v>
      </c>
      <c r="C35" s="305">
        <v>0</v>
      </c>
    </row>
    <row r="36" spans="1:10" x14ac:dyDescent="0.2">
      <c r="A36" s="173" t="s">
        <v>70</v>
      </c>
      <c r="B36" s="305">
        <v>0</v>
      </c>
      <c r="C36" s="305">
        <v>0</v>
      </c>
    </row>
    <row r="37" spans="1:10" x14ac:dyDescent="0.2">
      <c r="A37" s="173" t="s">
        <v>71</v>
      </c>
      <c r="B37" s="305">
        <v>0</v>
      </c>
      <c r="C37" s="305">
        <v>0</v>
      </c>
    </row>
    <row r="38" spans="1:10" x14ac:dyDescent="0.2">
      <c r="A38" s="173" t="s">
        <v>72</v>
      </c>
      <c r="B38" s="305">
        <v>0</v>
      </c>
      <c r="C38" s="305">
        <v>0</v>
      </c>
    </row>
    <row r="39" spans="1:10" x14ac:dyDescent="0.2">
      <c r="A39" s="173" t="s">
        <v>77</v>
      </c>
      <c r="B39" s="305">
        <v>0</v>
      </c>
      <c r="C39" s="305">
        <v>0</v>
      </c>
    </row>
    <row r="40" spans="1:10" x14ac:dyDescent="0.2">
      <c r="A40" s="171" t="s">
        <v>73</v>
      </c>
      <c r="B40" s="304">
        <f>[3]Maladie!$H$213</f>
        <v>4231.4442780600002</v>
      </c>
      <c r="C40" s="304">
        <f>[3]Maladie!$I$213</f>
        <v>3963.1403612499998</v>
      </c>
      <c r="D40" s="126"/>
    </row>
    <row r="41" spans="1:10" x14ac:dyDescent="0.2">
      <c r="A41" s="171" t="s">
        <v>74</v>
      </c>
      <c r="B41" s="304">
        <v>0</v>
      </c>
      <c r="C41" s="304">
        <v>0</v>
      </c>
      <c r="D41" s="126"/>
    </row>
    <row r="42" spans="1:10" x14ac:dyDescent="0.2">
      <c r="A42" s="171" t="s">
        <v>75</v>
      </c>
      <c r="B42" s="304">
        <f>[3]Famille!$H$123</f>
        <v>408.39499180000001</v>
      </c>
      <c r="C42" s="304">
        <f>[3]Famille!$I$123</f>
        <v>426.29611506999998</v>
      </c>
      <c r="D42" s="126"/>
      <c r="J42" t="s">
        <v>168</v>
      </c>
    </row>
    <row r="43" spans="1:10" x14ac:dyDescent="0.2">
      <c r="A43" s="171" t="s">
        <v>76</v>
      </c>
      <c r="B43" s="304">
        <v>0</v>
      </c>
      <c r="C43" s="304">
        <v>0</v>
      </c>
      <c r="D43" s="126"/>
    </row>
    <row r="44" spans="1:10" x14ac:dyDescent="0.2">
      <c r="A44" s="171" t="s">
        <v>78</v>
      </c>
      <c r="B44" s="304">
        <v>0</v>
      </c>
      <c r="C44" s="304">
        <v>0</v>
      </c>
      <c r="D44" s="126"/>
    </row>
    <row r="45" spans="1:10" x14ac:dyDescent="0.2">
      <c r="A45" s="186" t="s">
        <v>103</v>
      </c>
      <c r="B45" s="306">
        <f>[3]Maladie!$H$238+'[3]IJ AMEXA'!$G$78</f>
        <v>473.00034361000002</v>
      </c>
      <c r="C45" s="306">
        <f>[3]Maladie!$I$238+'[3]IJ AMEXA'!$H$78</f>
        <v>448.35047671000001</v>
      </c>
    </row>
    <row r="46" spans="1:10" x14ac:dyDescent="0.2">
      <c r="A46" s="186" t="s">
        <v>79</v>
      </c>
      <c r="B46" s="306">
        <f>[3]AT!$H$131</f>
        <v>103.31914045000001</v>
      </c>
      <c r="C46" s="306">
        <f>[3]AT!$I$131</f>
        <v>101.93115940000001</v>
      </c>
      <c r="D46" s="126"/>
    </row>
    <row r="47" spans="1:10" x14ac:dyDescent="0.2">
      <c r="A47" s="186" t="s">
        <v>80</v>
      </c>
      <c r="B47" s="306">
        <f>[3]Famille!$H$132</f>
        <v>62.208850720000001</v>
      </c>
      <c r="C47" s="306">
        <f>[3]Famille!$I$132</f>
        <v>54.075911179999999</v>
      </c>
      <c r="D47" s="126"/>
    </row>
    <row r="48" spans="1:10" x14ac:dyDescent="0.2">
      <c r="A48" s="186" t="s">
        <v>81</v>
      </c>
      <c r="B48" s="306">
        <f>[3]Vieillesse!$H$168</f>
        <v>295.09391356999998</v>
      </c>
      <c r="C48" s="306">
        <f>[3]Vieillesse!$I$168</f>
        <v>269.39200333000002</v>
      </c>
      <c r="D48" s="126"/>
    </row>
    <row r="49" spans="1:4" x14ac:dyDescent="0.2">
      <c r="A49" s="186" t="s">
        <v>82</v>
      </c>
      <c r="B49" s="306">
        <f>[3]RCO!$H$82</f>
        <v>107.24503216999999</v>
      </c>
      <c r="C49" s="306">
        <f>[3]RCO!$I$82</f>
        <v>107.27608479999999</v>
      </c>
      <c r="D49" s="126"/>
    </row>
    <row r="50" spans="1:4" x14ac:dyDescent="0.2">
      <c r="A50" s="177"/>
      <c r="B50" s="178"/>
      <c r="C50" s="178"/>
    </row>
    <row r="51" spans="1:4" x14ac:dyDescent="0.2">
      <c r="A51" s="173"/>
      <c r="B51" s="174"/>
      <c r="C51" s="174"/>
    </row>
    <row r="52" spans="1:4" x14ac:dyDescent="0.2">
      <c r="A52" s="378"/>
      <c r="B52" s="174"/>
      <c r="C52" s="174"/>
      <c r="D52" s="379"/>
    </row>
    <row r="53" spans="1:4" x14ac:dyDescent="0.2">
      <c r="A53" s="378"/>
      <c r="B53" s="174"/>
      <c r="C53" s="174"/>
      <c r="D53" s="379"/>
    </row>
    <row r="54" spans="1:4" x14ac:dyDescent="0.2">
      <c r="A54" s="378"/>
      <c r="B54" s="174"/>
      <c r="C54" s="174"/>
      <c r="D54" s="379"/>
    </row>
    <row r="55" spans="1:4" x14ac:dyDescent="0.2">
      <c r="A55" s="378"/>
      <c r="B55" s="172"/>
      <c r="C55" s="172"/>
      <c r="D55" s="379"/>
    </row>
    <row r="56" spans="1:4" x14ac:dyDescent="0.2">
      <c r="A56" s="378"/>
      <c r="B56" s="172"/>
      <c r="C56" s="172"/>
      <c r="D56" s="379"/>
    </row>
    <row r="57" spans="1:4" x14ac:dyDescent="0.2">
      <c r="A57" s="378"/>
      <c r="B57" s="172"/>
      <c r="C57" s="172"/>
      <c r="D57" s="379"/>
    </row>
    <row r="58" spans="1:4" x14ac:dyDescent="0.2">
      <c r="B58" s="172"/>
      <c r="C58" s="172"/>
    </row>
  </sheetData>
  <phoneticPr fontId="2" type="noConversion"/>
  <pageMargins left="0.78740157499999996" right="0.78740157499999996" top="0.984251969" bottom="0.984251969" header="0.4921259845" footer="0.4921259845"/>
  <pageSetup paperSize="9" orientation="landscape" verticalDpi="4294967295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I27"/>
  <sheetViews>
    <sheetView zoomScaleNormal="100" workbookViewId="0"/>
  </sheetViews>
  <sheetFormatPr baseColWidth="10" defaultRowHeight="12.75" x14ac:dyDescent="0.2"/>
  <cols>
    <col min="1" max="1" width="41" customWidth="1"/>
    <col min="2" max="2" width="14.28515625" bestFit="1" customWidth="1"/>
  </cols>
  <sheetData>
    <row r="1" spans="1:9" x14ac:dyDescent="0.2">
      <c r="A1" s="6" t="s">
        <v>173</v>
      </c>
    </row>
    <row r="2" spans="1:9" ht="13.5" thickBot="1" x14ac:dyDescent="0.25"/>
    <row r="3" spans="1:9" ht="22.5" customHeight="1" x14ac:dyDescent="0.2">
      <c r="A3" s="203" t="s">
        <v>104</v>
      </c>
      <c r="B3" s="204">
        <v>2017</v>
      </c>
      <c r="C3" s="204">
        <f>B3+1</f>
        <v>2018</v>
      </c>
      <c r="D3" s="204">
        <f t="shared" ref="D3:F3" si="0">C3+1</f>
        <v>2019</v>
      </c>
      <c r="E3" s="204">
        <f t="shared" si="0"/>
        <v>2020</v>
      </c>
      <c r="F3" s="204">
        <f t="shared" si="0"/>
        <v>2021</v>
      </c>
      <c r="G3" s="204">
        <f>F3+1</f>
        <v>2022</v>
      </c>
      <c r="H3" s="204">
        <f>G3+1</f>
        <v>2023</v>
      </c>
    </row>
    <row r="4" spans="1:9" x14ac:dyDescent="0.2">
      <c r="A4" s="210" t="s">
        <v>105</v>
      </c>
      <c r="B4" s="206">
        <v>1361109</v>
      </c>
      <c r="C4" s="206">
        <v>1318319</v>
      </c>
      <c r="D4" s="206">
        <v>1278834</v>
      </c>
      <c r="E4" s="276">
        <v>1239302</v>
      </c>
      <c r="F4" s="276">
        <v>1199854</v>
      </c>
      <c r="G4" s="276">
        <f>[4]Effectifs!$N$11</f>
        <v>1160308</v>
      </c>
      <c r="H4" s="360">
        <f>[4]Effectifs!$P$11</f>
        <v>1122114</v>
      </c>
      <c r="I4" s="150"/>
    </row>
    <row r="5" spans="1:9" ht="25.5" x14ac:dyDescent="0.2">
      <c r="A5" s="211" t="s">
        <v>106</v>
      </c>
      <c r="B5" s="206">
        <v>1426007</v>
      </c>
      <c r="C5" s="206">
        <v>1383472</v>
      </c>
      <c r="D5" s="206">
        <v>1342719</v>
      </c>
      <c r="E5" s="276">
        <v>1302368</v>
      </c>
      <c r="F5" s="276">
        <v>1254463</v>
      </c>
      <c r="G5" s="276">
        <f>[4]Effectifs!$N$17</f>
        <v>1213545</v>
      </c>
      <c r="H5" s="360">
        <f>[4]Effectifs!$P$17</f>
        <v>1174497</v>
      </c>
      <c r="I5" s="150"/>
    </row>
    <row r="6" spans="1:9" x14ac:dyDescent="0.2">
      <c r="A6" s="210" t="s">
        <v>107</v>
      </c>
      <c r="B6" s="206">
        <v>704936</v>
      </c>
      <c r="C6" s="206">
        <v>693983</v>
      </c>
      <c r="D6" s="206">
        <v>683417</v>
      </c>
      <c r="E6" s="293">
        <v>672840</v>
      </c>
      <c r="F6" s="293">
        <v>659447</v>
      </c>
      <c r="G6" s="293">
        <f>[5]Effectifs!$P$8</f>
        <v>654458</v>
      </c>
      <c r="H6" s="360">
        <f>[5]Effectifs!$R$8</f>
        <v>643891</v>
      </c>
      <c r="I6" s="150"/>
    </row>
    <row r="7" spans="1:9" ht="13.5" thickBot="1" x14ac:dyDescent="0.25">
      <c r="A7" s="212" t="s">
        <v>108</v>
      </c>
      <c r="B7" s="207">
        <v>13360</v>
      </c>
      <c r="C7" s="207">
        <v>13162</v>
      </c>
      <c r="D7" s="207">
        <v>12882</v>
      </c>
      <c r="E7" s="292">
        <v>12486</v>
      </c>
      <c r="F7" s="292">
        <v>12393</v>
      </c>
      <c r="G7" s="292">
        <f>[4]Effectifs!$N$21</f>
        <v>11887</v>
      </c>
      <c r="H7" s="361">
        <f>[4]Effectifs!$P$21</f>
        <v>11542</v>
      </c>
      <c r="I7" s="150"/>
    </row>
    <row r="8" spans="1:9" ht="9" customHeight="1" x14ac:dyDescent="0.2">
      <c r="A8" s="202"/>
      <c r="B8" s="208"/>
      <c r="C8" s="208"/>
      <c r="D8" s="208"/>
      <c r="E8" s="208"/>
      <c r="F8" s="208"/>
      <c r="G8" s="208"/>
      <c r="H8" s="362"/>
      <c r="I8" s="150"/>
    </row>
    <row r="9" spans="1:9" s="7" customFormat="1" ht="25.5" x14ac:dyDescent="0.2">
      <c r="A9" s="200" t="s">
        <v>109</v>
      </c>
      <c r="B9" s="209">
        <v>77218</v>
      </c>
      <c r="C9" s="209">
        <v>76395</v>
      </c>
      <c r="D9" s="209">
        <v>76889</v>
      </c>
      <c r="E9" s="277">
        <v>75389</v>
      </c>
      <c r="F9" s="277">
        <v>74937</v>
      </c>
      <c r="G9" s="277">
        <f>'[6]Famille NSA - Tableau 1'!$B$31</f>
        <v>75110</v>
      </c>
      <c r="H9" s="363">
        <f>'[6]Famille NSA - Tableau 1'!$C$31</f>
        <v>74127</v>
      </c>
      <c r="I9" s="150"/>
    </row>
    <row r="10" spans="1:9" x14ac:dyDescent="0.2">
      <c r="A10" s="201" t="s">
        <v>118</v>
      </c>
      <c r="B10" s="206">
        <v>484998</v>
      </c>
      <c r="C10" s="206">
        <v>477589</v>
      </c>
      <c r="D10" s="206">
        <v>468837</v>
      </c>
      <c r="E10" s="294">
        <v>461394</v>
      </c>
      <c r="F10" s="299">
        <v>455144</v>
      </c>
      <c r="G10" s="299">
        <f>'[7]Cotisations NSA - Tableaux 1à4 '!$B$8</f>
        <v>448721</v>
      </c>
      <c r="H10" s="364">
        <f>'[7]Cotisations NSA - Tableaux 1à4 '!$E$8</f>
        <v>442105</v>
      </c>
      <c r="I10" s="150"/>
    </row>
    <row r="12" spans="1:9" x14ac:dyDescent="0.2">
      <c r="A12" s="6" t="s">
        <v>110</v>
      </c>
    </row>
    <row r="13" spans="1:9" ht="13.5" thickBot="1" x14ac:dyDescent="0.25"/>
    <row r="14" spans="1:9" x14ac:dyDescent="0.2">
      <c r="A14" s="203" t="s">
        <v>104</v>
      </c>
      <c r="B14" s="204" t="s">
        <v>150</v>
      </c>
      <c r="C14" s="204" t="s">
        <v>152</v>
      </c>
      <c r="D14" s="205" t="s">
        <v>156</v>
      </c>
      <c r="E14" s="205" t="s">
        <v>158</v>
      </c>
      <c r="F14" s="205" t="s">
        <v>164</v>
      </c>
      <c r="G14" s="205" t="s">
        <v>172</v>
      </c>
    </row>
    <row r="15" spans="1:9" x14ac:dyDescent="0.2">
      <c r="A15" s="210" t="s">
        <v>105</v>
      </c>
      <c r="B15" s="213">
        <f>C4/B4-1</f>
        <v>-3.1437599780766989E-2</v>
      </c>
      <c r="C15" s="213">
        <f t="shared" ref="C15:D15" si="1">D4/C4-1</f>
        <v>-2.995102095926705E-2</v>
      </c>
      <c r="D15" s="213">
        <f t="shared" si="1"/>
        <v>-3.0912534386792978E-2</v>
      </c>
      <c r="E15" s="214">
        <f>F4/E4-1</f>
        <v>-3.1830820897569723E-2</v>
      </c>
      <c r="F15" s="214">
        <f>G4/F4-1</f>
        <v>-3.2959010012884926E-2</v>
      </c>
      <c r="G15" s="342">
        <f>H4/G4-1</f>
        <v>-3.2917122005536426E-2</v>
      </c>
    </row>
    <row r="16" spans="1:9" ht="25.5" x14ac:dyDescent="0.2">
      <c r="A16" s="211" t="s">
        <v>106</v>
      </c>
      <c r="B16" s="213">
        <f t="shared" ref="B16:E16" si="2">C5/B5-1</f>
        <v>-2.9828044322363079E-2</v>
      </c>
      <c r="C16" s="213">
        <f t="shared" si="2"/>
        <v>-2.9457047197196662E-2</v>
      </c>
      <c r="D16" s="213">
        <f>E5/D5-1</f>
        <v>-3.0051708510864916E-2</v>
      </c>
      <c r="E16" s="214">
        <f t="shared" si="2"/>
        <v>-3.678299835376786E-2</v>
      </c>
      <c r="F16" s="214">
        <f t="shared" ref="F16:G18" si="3">G5/F5-1</f>
        <v>-3.2617940903797105E-2</v>
      </c>
      <c r="G16" s="342">
        <f t="shared" si="3"/>
        <v>-3.2176804321224162E-2</v>
      </c>
    </row>
    <row r="17" spans="1:9" x14ac:dyDescent="0.2">
      <c r="A17" s="210" t="s">
        <v>167</v>
      </c>
      <c r="B17" s="213">
        <f t="shared" ref="B17:E17" si="4">C6/B6-1</f>
        <v>-1.5537580716547317E-2</v>
      </c>
      <c r="C17" s="213">
        <f t="shared" si="4"/>
        <v>-1.5225156812198604E-2</v>
      </c>
      <c r="D17" s="213">
        <f>E6/D6-1</f>
        <v>-1.5476641640462585E-2</v>
      </c>
      <c r="E17" s="214">
        <f t="shared" si="4"/>
        <v>-1.9905178051245476E-2</v>
      </c>
      <c r="F17" s="214">
        <f t="shared" si="3"/>
        <v>-7.5654298222601613E-3</v>
      </c>
      <c r="G17" s="342">
        <f t="shared" si="3"/>
        <v>-1.6146185087507536E-2</v>
      </c>
    </row>
    <row r="18" spans="1:9" ht="13.5" thickBot="1" x14ac:dyDescent="0.25">
      <c r="A18" s="212" t="s">
        <v>108</v>
      </c>
      <c r="B18" s="215">
        <f t="shared" ref="B18:E18" si="5">C7/B7-1</f>
        <v>-1.4820359281437101E-2</v>
      </c>
      <c r="C18" s="215">
        <f t="shared" si="5"/>
        <v>-2.1273362710834243E-2</v>
      </c>
      <c r="D18" s="215">
        <f t="shared" si="5"/>
        <v>-3.0740568234746135E-2</v>
      </c>
      <c r="E18" s="216">
        <f t="shared" si="5"/>
        <v>-7.4483421432003372E-3</v>
      </c>
      <c r="F18" s="216">
        <f t="shared" si="3"/>
        <v>-4.0829500524489637E-2</v>
      </c>
      <c r="G18" s="343">
        <f t="shared" si="3"/>
        <v>-2.9023302767729464E-2</v>
      </c>
    </row>
    <row r="19" spans="1:9" ht="9" customHeight="1" x14ac:dyDescent="0.2">
      <c r="A19" s="202"/>
      <c r="B19" s="217"/>
      <c r="C19" s="217"/>
      <c r="D19" s="217"/>
      <c r="E19" s="217"/>
      <c r="F19" s="217"/>
      <c r="G19" s="344"/>
    </row>
    <row r="20" spans="1:9" ht="25.5" x14ac:dyDescent="0.2">
      <c r="A20" s="200" t="s">
        <v>109</v>
      </c>
      <c r="B20" s="213">
        <f t="shared" ref="B20:D20" si="6">C9/B9-1</f>
        <v>-1.0658136703877386E-2</v>
      </c>
      <c r="C20" s="213">
        <f t="shared" si="6"/>
        <v>6.4663917795666492E-3</v>
      </c>
      <c r="D20" s="213">
        <f t="shared" si="6"/>
        <v>-1.950864232855154E-2</v>
      </c>
      <c r="E20" s="213">
        <f>F9/E9-1</f>
        <v>-5.9955696454390139E-3</v>
      </c>
      <c r="F20" s="213">
        <f>G9/F9-1</f>
        <v>2.308605895618987E-3</v>
      </c>
      <c r="G20" s="345">
        <f>H9/G9-1</f>
        <v>-1.308747170816138E-2</v>
      </c>
    </row>
    <row r="21" spans="1:9" x14ac:dyDescent="0.2">
      <c r="A21" s="201" t="str">
        <f>A10</f>
        <v>Cotisants NSA au 1er janvier (hors DOM)</v>
      </c>
      <c r="B21" s="213">
        <f t="shared" ref="B21:E21" si="7">C10/B10-1</f>
        <v>-1.5276351655058362E-2</v>
      </c>
      <c r="C21" s="213">
        <f t="shared" si="7"/>
        <v>-1.832538019091734E-2</v>
      </c>
      <c r="D21" s="213">
        <f t="shared" si="7"/>
        <v>-1.587545351582742E-2</v>
      </c>
      <c r="E21" s="213">
        <f t="shared" si="7"/>
        <v>-1.3545906535412211E-2</v>
      </c>
      <c r="F21" s="213">
        <f>G10/F10-1</f>
        <v>-1.4112017295625168E-2</v>
      </c>
      <c r="G21" s="345">
        <f>H10/G10-1</f>
        <v>-1.4744128311356075E-2</v>
      </c>
    </row>
    <row r="22" spans="1:9" ht="13.5" thickBot="1" x14ac:dyDescent="0.25"/>
    <row r="23" spans="1:9" x14ac:dyDescent="0.2">
      <c r="B23" s="204">
        <v>2020</v>
      </c>
      <c r="C23" s="204">
        <v>2021</v>
      </c>
      <c r="D23" s="205" t="s">
        <v>158</v>
      </c>
      <c r="E23" s="204">
        <v>2022</v>
      </c>
      <c r="F23" s="205" t="s">
        <v>164</v>
      </c>
      <c r="G23" s="204">
        <v>2023</v>
      </c>
      <c r="H23" s="205" t="s">
        <v>172</v>
      </c>
    </row>
    <row r="24" spans="1:9" x14ac:dyDescent="0.2">
      <c r="A24" s="201" t="s">
        <v>118</v>
      </c>
      <c r="B24" s="339">
        <f>SUM(B25:B27)</f>
        <v>461394</v>
      </c>
      <c r="C24" s="339">
        <f>SUM(C25:C27)</f>
        <v>455136</v>
      </c>
      <c r="D24" s="340">
        <f>C24/B24-1</f>
        <v>-1.3563245295777571E-2</v>
      </c>
      <c r="E24" s="339">
        <f>SUM(E25:E27)</f>
        <v>448721</v>
      </c>
      <c r="F24" s="340">
        <f>E24/C24-1</f>
        <v>-1.4094688181115145E-2</v>
      </c>
      <c r="G24" s="339">
        <f>SUM(G25:G27)</f>
        <v>442105</v>
      </c>
      <c r="H24" s="340">
        <f>G24/E24-1</f>
        <v>-1.4744128311356075E-2</v>
      </c>
      <c r="I24" s="150"/>
    </row>
    <row r="25" spans="1:9" x14ac:dyDescent="0.2">
      <c r="A25" s="201" t="s">
        <v>153</v>
      </c>
      <c r="B25" s="377">
        <v>435790</v>
      </c>
      <c r="C25" s="377">
        <v>430824</v>
      </c>
      <c r="D25" s="300">
        <f t="shared" ref="D25:D27" si="8">C25/B25-1</f>
        <v>-1.1395396865462759E-2</v>
      </c>
      <c r="E25" s="377">
        <f>'[7]Cotisations NSA - Tableaux 1à4 '!$B$5</f>
        <v>425857</v>
      </c>
      <c r="F25" s="300">
        <f t="shared" ref="F25:F26" si="9">E25/C25-1</f>
        <v>-1.1529069875401587E-2</v>
      </c>
      <c r="G25" s="377">
        <f>'[7]Cotisations NSA - Tableaux 1à4 '!$E$5</f>
        <v>421270</v>
      </c>
      <c r="H25" s="300">
        <f>G25/E25-1</f>
        <v>-1.0771221325468372E-2</v>
      </c>
      <c r="I25" s="150"/>
    </row>
    <row r="26" spans="1:9" x14ac:dyDescent="0.2">
      <c r="A26" s="201" t="s">
        <v>154</v>
      </c>
      <c r="B26" s="377">
        <v>22870</v>
      </c>
      <c r="C26" s="377">
        <v>21610</v>
      </c>
      <c r="D26" s="300">
        <f t="shared" si="8"/>
        <v>-5.5094009619588991E-2</v>
      </c>
      <c r="E26" s="377">
        <f>'[7]Cotisations NSA - Tableaux 1à4 '!$B$6</f>
        <v>20060</v>
      </c>
      <c r="F26" s="300">
        <f t="shared" si="9"/>
        <v>-7.1726052753354974E-2</v>
      </c>
      <c r="G26" s="377">
        <f>'[7]Cotisations NSA - Tableaux 1à4 '!$E$6</f>
        <v>18175</v>
      </c>
      <c r="H26" s="300">
        <f>G26/E26-1</f>
        <v>-9.3968095712861466E-2</v>
      </c>
      <c r="I26" s="150"/>
    </row>
    <row r="27" spans="1:9" x14ac:dyDescent="0.2">
      <c r="A27" s="201" t="s">
        <v>155</v>
      </c>
      <c r="B27" s="377">
        <v>2734</v>
      </c>
      <c r="C27" s="377">
        <v>2702</v>
      </c>
      <c r="D27" s="300">
        <f t="shared" si="8"/>
        <v>-1.1704462326261877E-2</v>
      </c>
      <c r="E27" s="377">
        <f>'[7]Cotisations NSA - Tableaux 1à4 '!$B$7</f>
        <v>2804</v>
      </c>
      <c r="F27" s="300">
        <f>E27/C27-1</f>
        <v>3.7749814951887561E-2</v>
      </c>
      <c r="G27" s="377">
        <f>'[7]Cotisations NSA - Tableaux 1à4 '!$E$7</f>
        <v>2660</v>
      </c>
      <c r="H27" s="300">
        <f>G27/E27-1</f>
        <v>-5.1355206847360946E-2</v>
      </c>
      <c r="I27" s="352"/>
    </row>
  </sheetData>
  <phoneticPr fontId="2" type="noConversion"/>
  <pageMargins left="0.78740157499999996" right="0.78740157499999996" top="0.984251969" bottom="0.984251969" header="0.4921259845" footer="0.4921259845"/>
  <pageSetup paperSize="9" orientation="landscape" horizontalDpi="4294967295" verticalDpi="4294967295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N60"/>
  <sheetViews>
    <sheetView zoomScale="80" zoomScaleNormal="80" workbookViewId="0">
      <selection activeCell="D46" sqref="D46"/>
    </sheetView>
  </sheetViews>
  <sheetFormatPr baseColWidth="10" defaultRowHeight="12.75" x14ac:dyDescent="0.2"/>
  <cols>
    <col min="1" max="1" width="42" customWidth="1"/>
    <col min="6" max="6" width="14.42578125" customWidth="1"/>
    <col min="8" max="8" width="32" customWidth="1"/>
    <col min="9" max="9" width="9.85546875" customWidth="1"/>
    <col min="10" max="13" width="9.5703125" customWidth="1"/>
    <col min="14" max="14" width="13.5703125" bestFit="1" customWidth="1"/>
  </cols>
  <sheetData>
    <row r="1" spans="1:11" ht="13.5" thickBot="1" x14ac:dyDescent="0.25">
      <c r="A1" s="419" t="s">
        <v>0</v>
      </c>
      <c r="B1" s="424">
        <f>'COMPTES NSA (Chiffres Utiles)'!D3</f>
        <v>2022</v>
      </c>
      <c r="C1" s="425">
        <f>'COMPTES NSA (Chiffres Utiles)'!E3</f>
        <v>2023</v>
      </c>
      <c r="D1" s="426" t="s">
        <v>22</v>
      </c>
      <c r="E1" s="424" t="s">
        <v>53</v>
      </c>
      <c r="F1" s="427" t="s">
        <v>54</v>
      </c>
    </row>
    <row r="2" spans="1:11" x14ac:dyDescent="0.2">
      <c r="A2" s="406" t="s">
        <v>15</v>
      </c>
      <c r="B2" s="407">
        <f>'NSA1'!B3</f>
        <v>14285.787028759998</v>
      </c>
      <c r="C2" s="279">
        <f>'NSA1'!C3</f>
        <v>14352.601921060001</v>
      </c>
      <c r="D2" s="408">
        <f>C2/$C$9</f>
        <v>0.86250292742052148</v>
      </c>
      <c r="E2" s="409">
        <f t="shared" ref="E2:E8" si="0">C2/B2-1</f>
        <v>4.677018645559583E-3</v>
      </c>
      <c r="F2" s="410">
        <f t="shared" ref="F2:F9" si="1">(B2/$B$9)*E2*100</f>
        <v>0.40107812565690998</v>
      </c>
      <c r="H2" s="436" t="s">
        <v>123</v>
      </c>
    </row>
    <row r="3" spans="1:11" x14ac:dyDescent="0.2">
      <c r="A3" s="411" t="s">
        <v>126</v>
      </c>
      <c r="B3" s="407">
        <f>'COMPTES NSA (Chiffres Utiles)'!D27</f>
        <v>549.89695474999996</v>
      </c>
      <c r="C3" s="279">
        <f>'COMPTES NSA (Chiffres Utiles)'!E27</f>
        <v>393.85135588999998</v>
      </c>
      <c r="D3" s="408">
        <f t="shared" ref="D3:D8" si="2">C3/$C$9</f>
        <v>2.3668039376554973E-2</v>
      </c>
      <c r="E3" s="409">
        <f t="shared" si="0"/>
        <v>-0.28377243683944953</v>
      </c>
      <c r="F3" s="410">
        <f t="shared" si="1"/>
        <v>-0.93671446818713711</v>
      </c>
      <c r="H3" s="428" t="s">
        <v>124</v>
      </c>
      <c r="I3" s="429"/>
      <c r="J3" s="430">
        <v>0</v>
      </c>
      <c r="K3" s="431">
        <f>J3/C3</f>
        <v>0</v>
      </c>
    </row>
    <row r="4" spans="1:11" x14ac:dyDescent="0.2">
      <c r="A4" s="397" t="s">
        <v>56</v>
      </c>
      <c r="B4" s="122">
        <f>'COMPTES NSA (Chiffres Utiles)'!D43</f>
        <v>1024.7162281400001</v>
      </c>
      <c r="C4" s="280">
        <f>'COMPTES NSA (Chiffres Utiles)'!E43</f>
        <v>1104.6694877600003</v>
      </c>
      <c r="D4" s="398">
        <f t="shared" si="2"/>
        <v>6.6383828678971774E-2</v>
      </c>
      <c r="E4" s="412">
        <f t="shared" si="0"/>
        <v>7.8024781324217196E-2</v>
      </c>
      <c r="F4" s="413">
        <f t="shared" si="1"/>
        <v>0.47994544935528061</v>
      </c>
      <c r="H4" s="432" t="s">
        <v>125</v>
      </c>
      <c r="I4" s="433"/>
      <c r="J4" s="434">
        <v>935.21756369000002</v>
      </c>
      <c r="K4" s="435">
        <f>J4/C3</f>
        <v>2.3745444815764452</v>
      </c>
    </row>
    <row r="5" spans="1:11" x14ac:dyDescent="0.2">
      <c r="A5" s="414" t="s">
        <v>57</v>
      </c>
      <c r="B5" s="415">
        <f>'COMPTES NSA (Chiffres Utiles)'!D50</f>
        <v>534.21964838999997</v>
      </c>
      <c r="C5" s="281">
        <f>'COMPTES NSA (Chiffres Utiles)'!E50</f>
        <v>502.38554517</v>
      </c>
      <c r="D5" s="416">
        <f t="shared" si="2"/>
        <v>3.0190275309389888E-2</v>
      </c>
      <c r="E5" s="417">
        <f t="shared" si="0"/>
        <v>-5.9589914590262194E-2</v>
      </c>
      <c r="F5" s="418">
        <f t="shared" si="1"/>
        <v>-0.19109456008874667</v>
      </c>
    </row>
    <row r="6" spans="1:11" x14ac:dyDescent="0.2">
      <c r="A6" s="414" t="s">
        <v>55</v>
      </c>
      <c r="B6" s="415">
        <f>'COMPTES NSA (Chiffres Utiles)'!D5-'NSA1'!B3</f>
        <v>246.26101210000343</v>
      </c>
      <c r="C6" s="281">
        <f>'COMPTES NSA (Chiffres Utiles)'!E5-'NSA1'!C3</f>
        <v>266.96442456000113</v>
      </c>
      <c r="D6" s="416">
        <f t="shared" si="2"/>
        <v>1.6042916745448929E-2</v>
      </c>
      <c r="E6" s="417">
        <f t="shared" si="0"/>
        <v>8.4071011823789288E-2</v>
      </c>
      <c r="F6" s="418">
        <f t="shared" si="1"/>
        <v>0.12427896803116348</v>
      </c>
    </row>
    <row r="7" spans="1:11" x14ac:dyDescent="0.2">
      <c r="A7" s="414" t="s">
        <v>16</v>
      </c>
      <c r="B7" s="415">
        <f>'COMPTES NSA (Chiffres Utiles)'!D36</f>
        <v>9.9508104500000005</v>
      </c>
      <c r="C7" s="281">
        <f>'COMPTES NSA (Chiffres Utiles)'!E36</f>
        <v>10.627469749999999</v>
      </c>
      <c r="D7" s="416">
        <f t="shared" si="2"/>
        <v>6.3864544009948211E-4</v>
      </c>
      <c r="E7" s="417">
        <f t="shared" si="0"/>
        <v>6.8000421010933731E-2</v>
      </c>
      <c r="F7" s="418">
        <f t="shared" si="1"/>
        <v>4.0618675629041029E-3</v>
      </c>
    </row>
    <row r="8" spans="1:11" ht="13.5" thickBot="1" x14ac:dyDescent="0.25">
      <c r="A8" s="414" t="s">
        <v>58</v>
      </c>
      <c r="B8" s="415">
        <f>'COMPTES NSA (Chiffres Utiles)'!D29</f>
        <v>7.9906330300000006</v>
      </c>
      <c r="C8" s="281">
        <f>'COMPTES NSA (Chiffres Utiles)'!E29</f>
        <v>9.5411951200000011</v>
      </c>
      <c r="D8" s="416">
        <f t="shared" si="2"/>
        <v>5.7336702901341426E-4</v>
      </c>
      <c r="E8" s="417">
        <f t="shared" si="0"/>
        <v>0.19404746584889798</v>
      </c>
      <c r="F8" s="418">
        <f t="shared" si="1"/>
        <v>9.3077533370779179E-3</v>
      </c>
    </row>
    <row r="9" spans="1:11" ht="13.5" thickBot="1" x14ac:dyDescent="0.25">
      <c r="A9" s="419" t="s">
        <v>20</v>
      </c>
      <c r="B9" s="420">
        <f>SUM(B2:B8)</f>
        <v>16658.82231562</v>
      </c>
      <c r="C9" s="421">
        <f>SUM(C2:C8)</f>
        <v>16640.641399310003</v>
      </c>
      <c r="D9" s="422">
        <f>SUM(D2:D8)</f>
        <v>0.99999999999999989</v>
      </c>
      <c r="E9" s="423">
        <f>C9/B9-1</f>
        <v>-1.0913686433253744E-3</v>
      </c>
      <c r="F9" s="386">
        <f t="shared" si="1"/>
        <v>-0.10913686433253744</v>
      </c>
    </row>
    <row r="10" spans="1:11" s="218" customFormat="1" ht="10.5" x14ac:dyDescent="0.15">
      <c r="B10" s="270">
        <f>'COMPTES NSA (Chiffres Utiles)'!D57</f>
        <v>16658.82231562</v>
      </c>
      <c r="C10" s="270">
        <f>'COMPTES NSA (Chiffres Utiles)'!E57</f>
        <v>16640.64139931</v>
      </c>
    </row>
    <row r="12" spans="1:11" x14ac:dyDescent="0.2">
      <c r="H12" s="321" t="s">
        <v>0</v>
      </c>
      <c r="I12" s="6" t="s">
        <v>54</v>
      </c>
    </row>
    <row r="13" spans="1:11" x14ac:dyDescent="0.2">
      <c r="H13" s="322" t="s">
        <v>177</v>
      </c>
      <c r="I13" s="244">
        <f>F2</f>
        <v>0.40107812565690998</v>
      </c>
    </row>
    <row r="14" spans="1:11" x14ac:dyDescent="0.2">
      <c r="B14" s="10"/>
      <c r="C14" s="10"/>
      <c r="D14" s="155"/>
      <c r="E14" s="155"/>
      <c r="F14" s="2"/>
      <c r="H14" s="322" t="s">
        <v>176</v>
      </c>
      <c r="I14" s="244">
        <f t="shared" ref="I14:I19" si="3">F3</f>
        <v>-0.93671446818713711</v>
      </c>
    </row>
    <row r="15" spans="1:11" x14ac:dyDescent="0.2">
      <c r="B15" s="10"/>
      <c r="C15" s="10"/>
      <c r="D15" s="155"/>
      <c r="E15" s="155"/>
      <c r="F15" s="2"/>
      <c r="H15" s="323" t="s">
        <v>178</v>
      </c>
      <c r="I15" s="245">
        <f t="shared" si="3"/>
        <v>0.47994544935528061</v>
      </c>
    </row>
    <row r="16" spans="1:11" x14ac:dyDescent="0.2">
      <c r="B16" s="10"/>
      <c r="C16" s="10"/>
      <c r="D16" s="155"/>
      <c r="E16" s="155"/>
      <c r="F16" s="2"/>
      <c r="H16" s="324" t="s">
        <v>179</v>
      </c>
      <c r="I16" s="246">
        <f t="shared" si="3"/>
        <v>-0.19109456008874667</v>
      </c>
    </row>
    <row r="17" spans="1:9" x14ac:dyDescent="0.2">
      <c r="B17" s="10"/>
      <c r="C17" s="10"/>
      <c r="D17" s="155"/>
      <c r="E17" s="155"/>
      <c r="F17" s="2"/>
      <c r="H17" s="324" t="s">
        <v>180</v>
      </c>
      <c r="I17" s="246">
        <f t="shared" si="3"/>
        <v>0.12427896803116348</v>
      </c>
    </row>
    <row r="18" spans="1:9" x14ac:dyDescent="0.2">
      <c r="A18" s="126"/>
      <c r="B18" s="10"/>
      <c r="C18" s="10"/>
      <c r="D18" s="155"/>
      <c r="E18" s="155"/>
      <c r="F18" s="2"/>
      <c r="H18" s="324" t="s">
        <v>181</v>
      </c>
      <c r="I18" s="246">
        <f t="shared" si="3"/>
        <v>4.0618675629041029E-3</v>
      </c>
    </row>
    <row r="19" spans="1:9" x14ac:dyDescent="0.2">
      <c r="A19" s="126"/>
      <c r="B19" s="10"/>
      <c r="C19" s="10"/>
      <c r="D19" s="155"/>
      <c r="E19" s="155"/>
      <c r="F19" s="2"/>
      <c r="H19" s="324" t="s">
        <v>182</v>
      </c>
      <c r="I19" s="246">
        <f t="shared" si="3"/>
        <v>9.3077533370779179E-3</v>
      </c>
    </row>
    <row r="20" spans="1:9" x14ac:dyDescent="0.2">
      <c r="A20" s="126"/>
      <c r="B20" s="10"/>
      <c r="C20" s="10"/>
      <c r="D20" s="155"/>
      <c r="E20" s="155"/>
      <c r="F20" s="2"/>
      <c r="H20" s="321" t="s">
        <v>20</v>
      </c>
      <c r="I20" s="247">
        <f>SUM(I13:I19)</f>
        <v>-0.10913686433254763</v>
      </c>
    </row>
    <row r="21" spans="1:9" x14ac:dyDescent="0.2">
      <c r="A21" s="159"/>
      <c r="B21" s="11"/>
      <c r="C21" s="11"/>
      <c r="D21" s="156"/>
      <c r="E21" s="156"/>
      <c r="F21" s="157"/>
    </row>
    <row r="23" spans="1:9" x14ac:dyDescent="0.2">
      <c r="C23" s="160"/>
    </row>
    <row r="37" spans="1:14" x14ac:dyDescent="0.2">
      <c r="A37" s="283" t="s">
        <v>0</v>
      </c>
      <c r="B37" s="437">
        <f>B1</f>
        <v>2022</v>
      </c>
      <c r="C37" s="278">
        <f>C1</f>
        <v>2023</v>
      </c>
      <c r="D37" s="438" t="s">
        <v>22</v>
      </c>
      <c r="E37" s="283" t="s">
        <v>53</v>
      </c>
      <c r="F37" s="284" t="s">
        <v>54</v>
      </c>
    </row>
    <row r="38" spans="1:14" x14ac:dyDescent="0.2">
      <c r="A38" s="439" t="s">
        <v>148</v>
      </c>
      <c r="B38" s="407">
        <f>'COMPTES NSA (Chiffres Utiles)'!D7+'COMPTES NSA (Chiffres Utiles)'!D14+'COMPTES NSA (Chiffres Utiles)'!D21+'COMPTES NSA (Chiffres Utiles)'!D30+'COMPTES NSA (Chiffres Utiles)'!D37+'COMPTES NSA (Chiffres Utiles)'!D44+'COMPTES NSA (Chiffres Utiles)'!D51</f>
        <v>7303.6836321400006</v>
      </c>
      <c r="C38" s="279">
        <f>'COMPTES NSA (Chiffres Utiles)'!E7+'COMPTES NSA (Chiffres Utiles)'!E14+'COMPTES NSA (Chiffres Utiles)'!E21+'COMPTES NSA (Chiffres Utiles)'!E30+'COMPTES NSA (Chiffres Utiles)'!E37+'COMPTES NSA (Chiffres Utiles)'!E44+'COMPTES NSA (Chiffres Utiles)'!E51</f>
        <v>7179.1982282800018</v>
      </c>
      <c r="D38" s="408">
        <f t="shared" ref="D38:D43" si="4">C38/$C$43</f>
        <v>0.43142557164759793</v>
      </c>
      <c r="E38" s="285">
        <f t="shared" ref="E38:E43" si="5">C38/B38-1</f>
        <v>-1.7044194427069392E-2</v>
      </c>
      <c r="F38" s="365">
        <f t="shared" ref="F38:F42" si="6">(B38/$B$43)*E38*100</f>
        <v>-0.74726413129021663</v>
      </c>
    </row>
    <row r="39" spans="1:14" x14ac:dyDescent="0.2">
      <c r="A39" s="440" t="s">
        <v>147</v>
      </c>
      <c r="B39" s="122">
        <f>'COMPTES NSA (Chiffres Utiles)'!D8+'COMPTES NSA (Chiffres Utiles)'!D15+'COMPTES NSA (Chiffres Utiles)'!D22+'COMPTES NSA (Chiffres Utiles)'!D31+'COMPTES NSA (Chiffres Utiles)'!D38+'COMPTES NSA (Chiffres Utiles)'!D45+'COMPTES NSA (Chiffres Utiles)'!D52</f>
        <v>422.34210016999998</v>
      </c>
      <c r="C39" s="280">
        <f>'COMPTES NSA (Chiffres Utiles)'!E8+'COMPTES NSA (Chiffres Utiles)'!E15+'COMPTES NSA (Chiffres Utiles)'!E22+'COMPTES NSA (Chiffres Utiles)'!E31+'COMPTES NSA (Chiffres Utiles)'!E38+'COMPTES NSA (Chiffres Utiles)'!E45+'COMPTES NSA (Chiffres Utiles)'!E52</f>
        <v>477.64435893999996</v>
      </c>
      <c r="D39" s="398">
        <f t="shared" si="4"/>
        <v>2.8703482484743963E-2</v>
      </c>
      <c r="E39" s="286">
        <f t="shared" si="5"/>
        <v>0.13094185672643066</v>
      </c>
      <c r="F39" s="366">
        <f t="shared" si="6"/>
        <v>0.3319697978778865</v>
      </c>
    </row>
    <row r="40" spans="1:14" x14ac:dyDescent="0.2">
      <c r="A40" s="441" t="s">
        <v>61</v>
      </c>
      <c r="B40" s="415">
        <f>'COMPTES NSA (Chiffres Utiles)'!D9+'COMPTES NSA (Chiffres Utiles)'!D16+'COMPTES NSA (Chiffres Utiles)'!D23+'COMPTES NSA (Chiffres Utiles)'!D32+'COMPTES NSA (Chiffres Utiles)'!D39+'COMPTES NSA (Chiffres Utiles)'!D46+'COMPTES NSA (Chiffres Utiles)'!D53</f>
        <v>660.4635208200001</v>
      </c>
      <c r="C40" s="281">
        <f>'COMPTES NSA (Chiffres Utiles)'!E9+'COMPTES NSA (Chiffres Utiles)'!E16+'COMPTES NSA (Chiffres Utiles)'!E23+'COMPTES NSA (Chiffres Utiles)'!E32+'COMPTES NSA (Chiffres Utiles)'!E39+'COMPTES NSA (Chiffres Utiles)'!E46+'COMPTES NSA (Chiffres Utiles)'!E53</f>
        <v>690.39751589000002</v>
      </c>
      <c r="D40" s="416">
        <f t="shared" si="4"/>
        <v>4.1488636124243805E-2</v>
      </c>
      <c r="E40" s="287">
        <f t="shared" si="5"/>
        <v>4.5322707653611571E-2</v>
      </c>
      <c r="F40" s="367">
        <f t="shared" si="6"/>
        <v>0.17968854282053606</v>
      </c>
    </row>
    <row r="41" spans="1:14" x14ac:dyDescent="0.2">
      <c r="A41" s="442" t="s">
        <v>62</v>
      </c>
      <c r="B41" s="407">
        <f>'COMPTES NSA (Chiffres Utiles)'!D11+'COMPTES NSA (Chiffres Utiles)'!D18+'COMPTES NSA (Chiffres Utiles)'!D25+'COMPTES NSA (Chiffres Utiles)'!D34+'COMPTES NSA (Chiffres Utiles)'!D41+'COMPTES NSA (Chiffres Utiles)'!D48+'COMPTES NSA (Chiffres Utiles)'!D55</f>
        <v>7099.6168018699982</v>
      </c>
      <c r="C41" s="279">
        <f>'COMPTES NSA (Chiffres Utiles)'!E11+'COMPTES NSA (Chiffres Utiles)'!E18+'COMPTES NSA (Chiffres Utiles)'!E25+'COMPTES NSA (Chiffres Utiles)'!E34+'COMPTES NSA (Chiffres Utiles)'!E41+'COMPTES NSA (Chiffres Utiles)'!E48+'COMPTES NSA (Chiffres Utiles)'!E55</f>
        <v>7091.91930813</v>
      </c>
      <c r="D41" s="408">
        <f t="shared" si="4"/>
        <v>0.42618064640369352</v>
      </c>
      <c r="E41" s="285">
        <f t="shared" si="5"/>
        <v>-1.0842125645388334E-3</v>
      </c>
      <c r="F41" s="365">
        <f t="shared" si="6"/>
        <v>-4.6206710139293422E-2</v>
      </c>
    </row>
    <row r="42" spans="1:14" x14ac:dyDescent="0.2">
      <c r="A42" s="441" t="s">
        <v>35</v>
      </c>
      <c r="B42" s="415">
        <f>'COMPTES NSA (Chiffres Utiles)'!D54+'COMPTES NSA (Chiffres Utiles)'!D47+'COMPTES NSA (Chiffres Utiles)'!D40+'COMPTES NSA (Chiffres Utiles)'!D33+'COMPTES NSA (Chiffres Utiles)'!D24+'COMPTES NSA (Chiffres Utiles)'!D17+'COMPTES NSA (Chiffres Utiles)'!D10</f>
        <v>1172.71626062</v>
      </c>
      <c r="C42" s="281">
        <f>'COMPTES NSA (Chiffres Utiles)'!E54+'COMPTES NSA (Chiffres Utiles)'!E47+'COMPTES NSA (Chiffres Utiles)'!E40+'COMPTES NSA (Chiffres Utiles)'!E33+'COMPTES NSA (Chiffres Utiles)'!E24+'COMPTES NSA (Chiffres Utiles)'!E17+'COMPTES NSA (Chiffres Utiles)'!E10</f>
        <v>1201.4819880700002</v>
      </c>
      <c r="D42" s="416">
        <f>C42/$C$43</f>
        <v>7.2201663339720737E-2</v>
      </c>
      <c r="E42" s="287">
        <f t="shared" si="5"/>
        <v>2.4529145212663916E-2</v>
      </c>
      <c r="F42" s="367">
        <f t="shared" si="6"/>
        <v>0.17267563639854822</v>
      </c>
    </row>
    <row r="43" spans="1:14" x14ac:dyDescent="0.2">
      <c r="A43" s="443" t="s">
        <v>146</v>
      </c>
      <c r="B43" s="444">
        <f>SUM(B38:B42)</f>
        <v>16658.82231562</v>
      </c>
      <c r="C43" s="282">
        <f>SUM(C38:C42)</f>
        <v>16640.641399310003</v>
      </c>
      <c r="D43" s="445">
        <f t="shared" si="4"/>
        <v>1</v>
      </c>
      <c r="E43" s="288">
        <f t="shared" si="5"/>
        <v>-1.0913686433253744E-3</v>
      </c>
      <c r="F43" s="289">
        <f>(B43/$B$43)*E43*100</f>
        <v>-0.10913686433253744</v>
      </c>
    </row>
    <row r="44" spans="1:14" x14ac:dyDescent="0.2">
      <c r="B44" s="169"/>
      <c r="C44" s="169"/>
      <c r="H44" s="249"/>
      <c r="I44" s="248" t="s">
        <v>129</v>
      </c>
      <c r="J44" s="248" t="s">
        <v>60</v>
      </c>
      <c r="K44" s="248" t="s">
        <v>61</v>
      </c>
      <c r="L44" s="248" t="s">
        <v>62</v>
      </c>
      <c r="M44" s="248" t="s">
        <v>35</v>
      </c>
      <c r="N44" s="275" t="s">
        <v>137</v>
      </c>
    </row>
    <row r="45" spans="1:14" x14ac:dyDescent="0.2">
      <c r="H45" s="512" t="s">
        <v>174</v>
      </c>
      <c r="I45" s="513">
        <f>E38</f>
        <v>-1.7044194427069392E-2</v>
      </c>
      <c r="J45" s="513">
        <f>E39</f>
        <v>0.13094185672643066</v>
      </c>
      <c r="K45" s="513">
        <f>E40</f>
        <v>4.5322707653611571E-2</v>
      </c>
      <c r="L45" s="513">
        <f>E41</f>
        <v>-1.0842125645388334E-3</v>
      </c>
      <c r="M45" s="513">
        <f>E42</f>
        <v>2.4529145212663916E-2</v>
      </c>
      <c r="N45" s="509">
        <f>E43</f>
        <v>-1.0913686433253744E-3</v>
      </c>
    </row>
    <row r="46" spans="1:14" x14ac:dyDescent="0.2">
      <c r="A46" s="222"/>
      <c r="B46" s="169"/>
      <c r="C46" s="169"/>
      <c r="H46" s="512"/>
      <c r="I46" s="513"/>
      <c r="J46" s="513"/>
      <c r="K46" s="513"/>
      <c r="L46" s="513"/>
      <c r="M46" s="513"/>
      <c r="N46" s="509"/>
    </row>
    <row r="47" spans="1:14" x14ac:dyDescent="0.2">
      <c r="A47" s="159"/>
      <c r="B47" s="159"/>
      <c r="C47" s="159"/>
      <c r="D47" s="271"/>
      <c r="E47" s="159"/>
      <c r="F47" s="159"/>
      <c r="H47" s="512" t="s">
        <v>175</v>
      </c>
      <c r="I47" s="511">
        <f>F38</f>
        <v>-0.74726413129021663</v>
      </c>
      <c r="J47" s="511">
        <f>F39</f>
        <v>0.3319697978778865</v>
      </c>
      <c r="K47" s="511">
        <f>F40</f>
        <v>0.17968854282053606</v>
      </c>
      <c r="L47" s="511">
        <f>F41</f>
        <v>-4.6206710139293422E-2</v>
      </c>
      <c r="M47" s="511">
        <f>F42</f>
        <v>0.17267563639854822</v>
      </c>
      <c r="N47" s="510">
        <f>SUM(I47:M48)</f>
        <v>-0.10913686433253927</v>
      </c>
    </row>
    <row r="48" spans="1:14" x14ac:dyDescent="0.2">
      <c r="A48" s="126"/>
      <c r="B48" s="127"/>
      <c r="C48" s="127"/>
      <c r="D48" s="123"/>
      <c r="E48" s="123"/>
      <c r="F48" s="170"/>
      <c r="H48" s="512"/>
      <c r="I48" s="511"/>
      <c r="J48" s="511"/>
      <c r="K48" s="511"/>
      <c r="L48" s="511"/>
      <c r="M48" s="511"/>
      <c r="N48" s="510"/>
    </row>
    <row r="49" spans="1:6" x14ac:dyDescent="0.2">
      <c r="A49" s="230"/>
      <c r="B49" s="127"/>
      <c r="C49" s="127"/>
      <c r="D49" s="123"/>
      <c r="E49" s="123"/>
      <c r="F49" s="170"/>
    </row>
    <row r="50" spans="1:6" x14ac:dyDescent="0.2">
      <c r="A50" s="126"/>
      <c r="B50" s="127"/>
      <c r="C50" s="127"/>
      <c r="D50" s="123"/>
      <c r="E50" s="123"/>
      <c r="F50" s="170"/>
    </row>
    <row r="51" spans="1:6" x14ac:dyDescent="0.2">
      <c r="A51" s="126"/>
      <c r="B51" s="127"/>
      <c r="C51" s="127"/>
      <c r="D51" s="123"/>
      <c r="E51" s="123"/>
      <c r="F51" s="170"/>
    </row>
    <row r="52" spans="1:6" x14ac:dyDescent="0.2">
      <c r="A52" s="126"/>
      <c r="B52" s="127"/>
      <c r="C52" s="127"/>
      <c r="D52" s="123"/>
      <c r="E52" s="123"/>
      <c r="F52" s="170"/>
    </row>
    <row r="53" spans="1:6" x14ac:dyDescent="0.2">
      <c r="A53" s="126"/>
      <c r="B53" s="127"/>
      <c r="C53" s="127"/>
      <c r="D53" s="123"/>
      <c r="E53" s="123"/>
      <c r="F53" s="170"/>
    </row>
    <row r="54" spans="1:6" x14ac:dyDescent="0.2">
      <c r="A54" s="159"/>
      <c r="B54" s="161"/>
      <c r="C54" s="161"/>
      <c r="D54" s="162"/>
      <c r="E54" s="162"/>
      <c r="F54" s="242"/>
    </row>
    <row r="55" spans="1:6" x14ac:dyDescent="0.2">
      <c r="A55" s="126"/>
      <c r="B55" s="126"/>
      <c r="C55" s="126"/>
      <c r="D55" s="126"/>
      <c r="E55" s="126"/>
      <c r="F55" s="126"/>
    </row>
    <row r="56" spans="1:6" x14ac:dyDescent="0.2">
      <c r="A56" s="272"/>
      <c r="B56" s="273"/>
      <c r="C56" s="273"/>
      <c r="D56" s="272"/>
      <c r="E56" s="274"/>
      <c r="F56" s="272"/>
    </row>
    <row r="57" spans="1:6" x14ac:dyDescent="0.2">
      <c r="A57" s="150"/>
    </row>
    <row r="60" spans="1:6" ht="18" customHeight="1" x14ac:dyDescent="0.2"/>
  </sheetData>
  <mergeCells count="14">
    <mergeCell ref="N45:N46"/>
    <mergeCell ref="N47:N48"/>
    <mergeCell ref="M47:M48"/>
    <mergeCell ref="H45:H46"/>
    <mergeCell ref="I45:I46"/>
    <mergeCell ref="J45:J46"/>
    <mergeCell ref="K45:K46"/>
    <mergeCell ref="L45:L46"/>
    <mergeCell ref="M45:M46"/>
    <mergeCell ref="H47:H48"/>
    <mergeCell ref="I47:I48"/>
    <mergeCell ref="J47:J48"/>
    <mergeCell ref="K47:K48"/>
    <mergeCell ref="L47:L48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4294967295" verticalDpi="4294967295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N52"/>
  <sheetViews>
    <sheetView zoomScale="90" zoomScaleNormal="90" workbookViewId="0">
      <selection activeCell="H3" sqref="H3"/>
    </sheetView>
  </sheetViews>
  <sheetFormatPr baseColWidth="10" defaultRowHeight="12.75" x14ac:dyDescent="0.2"/>
  <cols>
    <col min="1" max="1" width="42" customWidth="1"/>
    <col min="6" max="6" width="12.7109375" bestFit="1" customWidth="1"/>
    <col min="8" max="8" width="41.28515625" bestFit="1" customWidth="1"/>
    <col min="9" max="9" width="16" customWidth="1"/>
    <col min="10" max="14" width="9.28515625" customWidth="1"/>
  </cols>
  <sheetData>
    <row r="1" spans="1:9" ht="13.5" thickBot="1" x14ac:dyDescent="0.25">
      <c r="A1" s="387" t="s">
        <v>2</v>
      </c>
      <c r="B1" s="388">
        <f>'%charges'!B1</f>
        <v>2022</v>
      </c>
      <c r="C1" s="388">
        <f>'%charges'!C1</f>
        <v>2023</v>
      </c>
      <c r="D1" s="389" t="s">
        <v>22</v>
      </c>
      <c r="E1" s="388" t="s">
        <v>53</v>
      </c>
      <c r="F1" s="390" t="s">
        <v>54</v>
      </c>
      <c r="I1">
        <f>1+(20/100)</f>
        <v>1.2</v>
      </c>
    </row>
    <row r="2" spans="1:9" x14ac:dyDescent="0.2">
      <c r="A2" s="391" t="s">
        <v>19</v>
      </c>
      <c r="B2" s="392">
        <f>'COMPTES NSA (Chiffres Utiles)'!Q26</f>
        <v>4868.3526247</v>
      </c>
      <c r="C2" s="392">
        <f>'COMPTES NSA (Chiffres Utiles)'!R26</f>
        <v>4717.54026221</v>
      </c>
      <c r="D2" s="393">
        <f t="shared" ref="D2:D9" si="0">C2/$C$10</f>
        <v>0.28084465649677581</v>
      </c>
      <c r="E2" s="308">
        <f t="shared" ref="E2" si="1">C2/B2-1</f>
        <v>-3.0978109869207238E-2</v>
      </c>
      <c r="F2" s="368">
        <f t="shared" ref="F2:F9" si="2">(B2/$B$10)*E2*100</f>
        <v>-0.89538779964339399</v>
      </c>
    </row>
    <row r="3" spans="1:9" x14ac:dyDescent="0.2">
      <c r="A3" s="394" t="s">
        <v>145</v>
      </c>
      <c r="B3" s="395">
        <f>SUM('NSA1'!B40:B44)</f>
        <v>4639.8392698600001</v>
      </c>
      <c r="C3" s="395">
        <f>SUM('NSA1'!C40:C44)</f>
        <v>4389.4364763200001</v>
      </c>
      <c r="D3" s="396">
        <f t="shared" si="0"/>
        <v>0.26131197846502507</v>
      </c>
      <c r="E3" s="309">
        <f>C3/B3-1</f>
        <v>-5.3967988754825003E-2</v>
      </c>
      <c r="F3" s="369">
        <f t="shared" si="2"/>
        <v>-1.4866659644510658</v>
      </c>
    </row>
    <row r="4" spans="1:9" x14ac:dyDescent="0.2">
      <c r="A4" s="391" t="s">
        <v>18</v>
      </c>
      <c r="B4" s="392">
        <f>'NSA1'!B28</f>
        <v>2644</v>
      </c>
      <c r="C4" s="392">
        <f>'NSA1'!C28</f>
        <v>2605.616567</v>
      </c>
      <c r="D4" s="393">
        <f t="shared" si="0"/>
        <v>0.15511759286578156</v>
      </c>
      <c r="E4" s="310">
        <f>C4/B4-1</f>
        <v>-1.4517183434190617E-2</v>
      </c>
      <c r="F4" s="370">
        <f t="shared" si="2"/>
        <v>-0.2278862093875659</v>
      </c>
    </row>
    <row r="5" spans="1:9" x14ac:dyDescent="0.2">
      <c r="A5" s="391" t="s">
        <v>17</v>
      </c>
      <c r="B5" s="392">
        <f>'NSA1'!B11</f>
        <v>2546.7103734900002</v>
      </c>
      <c r="C5" s="392">
        <f>'NSA1'!C11</f>
        <v>2953.8906554199998</v>
      </c>
      <c r="D5" s="393">
        <f>C5/$C$10</f>
        <v>0.17585104955984732</v>
      </c>
      <c r="E5" s="310">
        <f t="shared" ref="E5:E9" si="3">C5/B5-1</f>
        <v>0.15988480125912452</v>
      </c>
      <c r="F5" s="370">
        <f t="shared" si="2"/>
        <v>2.4174693020915559</v>
      </c>
    </row>
    <row r="6" spans="1:9" x14ac:dyDescent="0.2">
      <c r="A6" s="397" t="s">
        <v>119</v>
      </c>
      <c r="B6" s="122">
        <f>B10-(B2+B4+B5+B7+B8+B3+B9)</f>
        <v>1630.0434373100015</v>
      </c>
      <c r="C6" s="122">
        <f>C10-(C2+C4+C5+C7+C8+C3+C9)</f>
        <v>1541.5519436100039</v>
      </c>
      <c r="D6" s="398">
        <f t="shared" si="0"/>
        <v>9.1771686517048021E-2</v>
      </c>
      <c r="E6" s="311">
        <f>C6/B6-1</f>
        <v>-5.428781324136478E-2</v>
      </c>
      <c r="F6" s="371">
        <f t="shared" si="2"/>
        <v>-0.52538268430382806</v>
      </c>
    </row>
    <row r="7" spans="1:9" x14ac:dyDescent="0.2">
      <c r="A7" s="399" t="s">
        <v>113</v>
      </c>
      <c r="B7" s="122">
        <f>SUM('NSA1'!B30:B39)</f>
        <v>41.167499419999999</v>
      </c>
      <c r="C7" s="122">
        <f>'NSA1'!C30+'NSA1'!C33</f>
        <v>50.359809500000004</v>
      </c>
      <c r="D7" s="398">
        <f t="shared" si="0"/>
        <v>2.9980207087082584E-3</v>
      </c>
      <c r="E7" s="311">
        <f>C7/B7-1</f>
        <v>0.22329046479646508</v>
      </c>
      <c r="F7" s="371">
        <f t="shared" si="2"/>
        <v>5.457564724985163E-2</v>
      </c>
    </row>
    <row r="8" spans="1:9" x14ac:dyDescent="0.2">
      <c r="A8" s="400" t="s">
        <v>151</v>
      </c>
      <c r="B8" s="392">
        <f>'COMPTES NSA (Chiffres Utiles)'!Q19</f>
        <v>438.55704474999999</v>
      </c>
      <c r="C8" s="392">
        <f>'COMPTES NSA (Chiffres Utiles)'!R20</f>
        <v>508.80796943000001</v>
      </c>
      <c r="D8" s="393">
        <f>C8/$C$10</f>
        <v>3.0290361386433332E-2</v>
      </c>
      <c r="E8" s="310">
        <f t="shared" si="3"/>
        <v>0.16018651512039139</v>
      </c>
      <c r="F8" s="370">
        <f t="shared" si="2"/>
        <v>0.41708663556218672</v>
      </c>
      <c r="G8" s="126"/>
    </row>
    <row r="9" spans="1:9" ht="13.5" thickBot="1" x14ac:dyDescent="0.25">
      <c r="A9" s="397" t="s">
        <v>122</v>
      </c>
      <c r="B9" s="122">
        <f>'COMPTES NSA (Chiffres Utiles)'!Q12</f>
        <v>34.574939880000002</v>
      </c>
      <c r="C9" s="122">
        <f>'COMPTES NSA (Chiffres Utiles)'!R12</f>
        <v>30.481987499999999</v>
      </c>
      <c r="D9" s="398">
        <f t="shared" si="0"/>
        <v>1.8146540003807256E-3</v>
      </c>
      <c r="E9" s="311">
        <f t="shared" si="3"/>
        <v>-0.11837916115560876</v>
      </c>
      <c r="F9" s="371">
        <f t="shared" si="2"/>
        <v>-2.4300260038804169E-2</v>
      </c>
      <c r="G9" s="126"/>
    </row>
    <row r="10" spans="1:9" ht="13.5" thickBot="1" x14ac:dyDescent="0.25">
      <c r="A10" s="382" t="s">
        <v>23</v>
      </c>
      <c r="B10" s="383">
        <f>'NSA1'!B10</f>
        <v>16843.245189410001</v>
      </c>
      <c r="C10" s="383">
        <f>'NSA1'!C10</f>
        <v>16797.685670990002</v>
      </c>
      <c r="D10" s="384"/>
      <c r="E10" s="385"/>
      <c r="F10" s="386"/>
      <c r="G10" s="126"/>
    </row>
    <row r="11" spans="1:9" x14ac:dyDescent="0.2">
      <c r="A11" s="126"/>
      <c r="B11" s="270"/>
      <c r="C11" s="270"/>
      <c r="D11" s="162"/>
      <c r="E11" s="185"/>
      <c r="F11" s="157"/>
    </row>
    <row r="12" spans="1:9" x14ac:dyDescent="0.2">
      <c r="B12" s="10"/>
      <c r="C12" s="10"/>
      <c r="D12" s="162"/>
      <c r="E12" s="185"/>
      <c r="F12" s="157" t="s">
        <v>159</v>
      </c>
    </row>
    <row r="14" spans="1:9" x14ac:dyDescent="0.2">
      <c r="H14" s="401" t="s">
        <v>2</v>
      </c>
      <c r="I14" s="284" t="s">
        <v>54</v>
      </c>
    </row>
    <row r="15" spans="1:9" x14ac:dyDescent="0.2">
      <c r="H15" s="402" t="s">
        <v>183</v>
      </c>
      <c r="I15" s="403">
        <f>F2</f>
        <v>-0.89538779964339399</v>
      </c>
    </row>
    <row r="16" spans="1:9" x14ac:dyDescent="0.2">
      <c r="H16" s="402" t="s">
        <v>184</v>
      </c>
      <c r="I16" s="403">
        <f t="shared" ref="I16:I22" si="4">F3</f>
        <v>-1.4866659644510658</v>
      </c>
    </row>
    <row r="17" spans="8:9" x14ac:dyDescent="0.2">
      <c r="H17" s="402" t="s">
        <v>185</v>
      </c>
      <c r="I17" s="403">
        <f t="shared" si="4"/>
        <v>-0.2278862093875659</v>
      </c>
    </row>
    <row r="18" spans="8:9" x14ac:dyDescent="0.2">
      <c r="H18" s="402" t="s">
        <v>186</v>
      </c>
      <c r="I18" s="403">
        <f t="shared" si="4"/>
        <v>2.4174693020915559</v>
      </c>
    </row>
    <row r="19" spans="8:9" x14ac:dyDescent="0.2">
      <c r="H19" s="402" t="s">
        <v>187</v>
      </c>
      <c r="I19" s="403">
        <f t="shared" si="4"/>
        <v>-0.52538268430382806</v>
      </c>
    </row>
    <row r="20" spans="8:9" x14ac:dyDescent="0.2">
      <c r="H20" s="402" t="s">
        <v>188</v>
      </c>
      <c r="I20" s="403">
        <f t="shared" si="4"/>
        <v>5.457564724985163E-2</v>
      </c>
    </row>
    <row r="21" spans="8:9" x14ac:dyDescent="0.2">
      <c r="H21" s="402" t="s">
        <v>189</v>
      </c>
      <c r="I21" s="403">
        <f t="shared" si="4"/>
        <v>0.41708663556218672</v>
      </c>
    </row>
    <row r="22" spans="8:9" x14ac:dyDescent="0.2">
      <c r="H22" s="402" t="s">
        <v>190</v>
      </c>
      <c r="I22" s="404">
        <f t="shared" si="4"/>
        <v>-2.4300260038804169E-2</v>
      </c>
    </row>
    <row r="23" spans="8:9" x14ac:dyDescent="0.2">
      <c r="H23" s="405" t="s">
        <v>23</v>
      </c>
      <c r="I23" s="289">
        <f>SUM(I15:I22)</f>
        <v>-0.27049133292106342</v>
      </c>
    </row>
    <row r="34" spans="1:14" x14ac:dyDescent="0.2">
      <c r="J34" s="10">
        <f>C10</f>
        <v>16797.685670990002</v>
      </c>
      <c r="K34" s="10">
        <f>J34-J35</f>
        <v>0</v>
      </c>
    </row>
    <row r="35" spans="1:14" x14ac:dyDescent="0.2">
      <c r="J35" s="10">
        <f>C46</f>
        <v>16797.685670989998</v>
      </c>
    </row>
    <row r="40" spans="1:14" x14ac:dyDescent="0.2">
      <c r="A40" s="6" t="s">
        <v>128</v>
      </c>
      <c r="B40" s="6">
        <f>B1</f>
        <v>2022</v>
      </c>
      <c r="C40" s="6">
        <f>C1</f>
        <v>2023</v>
      </c>
      <c r="D40" s="158" t="s">
        <v>22</v>
      </c>
      <c r="E40" s="6" t="s">
        <v>53</v>
      </c>
      <c r="F40" s="6" t="s">
        <v>54</v>
      </c>
    </row>
    <row r="41" spans="1:14" x14ac:dyDescent="0.2">
      <c r="A41" s="241" t="s">
        <v>148</v>
      </c>
      <c r="B41" s="180">
        <f>'COMPTES NSA (Chiffres Utiles)'!Q6+'COMPTES NSA (Chiffres Utiles)'!Q13+'COMPTES NSA (Chiffres Utiles)'!Q20+'COMPTES NSA (Chiffres Utiles)'!Q27+'COMPTES NSA (Chiffres Utiles)'!Q34+'COMPTES NSA (Chiffres Utiles)'!Q41+'COMPTES NSA (Chiffres Utiles)'!Q48+'COMPTES NSA (Chiffres Utiles)'!Q55+'COMPTES NSA (Chiffres Utiles)'!Q62+'COMPTES NSA (Chiffres Utiles)'!Q69</f>
        <v>7293.3621882399993</v>
      </c>
      <c r="C41" s="180">
        <f>'COMPTES NSA (Chiffres Utiles)'!R6+'COMPTES NSA (Chiffres Utiles)'!R13+'COMPTES NSA (Chiffres Utiles)'!R20+'COMPTES NSA (Chiffres Utiles)'!R27+'COMPTES NSA (Chiffres Utiles)'!R34+'COMPTES NSA (Chiffres Utiles)'!R41+'COMPTES NSA (Chiffres Utiles)'!R48+'COMPTES NSA (Chiffres Utiles)'!R55+'COMPTES NSA (Chiffres Utiles)'!R62+'COMPTES NSA (Chiffres Utiles)'!R69</f>
        <v>7174.6576593400005</v>
      </c>
      <c r="D41" s="181">
        <f>C41/$C$46</f>
        <v>0.42712179522032634</v>
      </c>
      <c r="E41" s="181">
        <f t="shared" ref="E41:E46" si="5">C41/B41-1</f>
        <v>-1.627569368368964E-2</v>
      </c>
      <c r="F41" s="372">
        <f>(B41/$B$46)*E41*100</f>
        <v>-0.70476043995745408</v>
      </c>
    </row>
    <row r="42" spans="1:14" x14ac:dyDescent="0.2">
      <c r="A42" s="126" t="s">
        <v>147</v>
      </c>
      <c r="B42" s="127">
        <f>'COMPTES NSA (Chiffres Utiles)'!Q8+'COMPTES NSA (Chiffres Utiles)'!Q15+'COMPTES NSA (Chiffres Utiles)'!Q22+'COMPTES NSA (Chiffres Utiles)'!Q29+'COMPTES NSA (Chiffres Utiles)'!Q43+'COMPTES NSA (Chiffres Utiles)'!Q50+'COMPTES NSA (Chiffres Utiles)'!Q57+'COMPTES NSA (Chiffres Utiles)'!Q64+'COMPTES NSA (Chiffres Utiles)'!Q71+'COMPTES NSA (Chiffres Utiles)'!Q36</f>
        <v>437.87688075999995</v>
      </c>
      <c r="C42" s="127">
        <f>'COMPTES NSA (Chiffres Utiles)'!R8+'COMPTES NSA (Chiffres Utiles)'!R15+'COMPTES NSA (Chiffres Utiles)'!R22+'COMPTES NSA (Chiffres Utiles)'!R29+'COMPTES NSA (Chiffres Utiles)'!R36+'COMPTES NSA (Chiffres Utiles)'!R43+'COMPTES NSA (Chiffres Utiles)'!R50+'COMPTES NSA (Chiffres Utiles)'!R57+'COMPTES NSA (Chiffres Utiles)'!R64+'COMPTES NSA (Chiffres Utiles)'!R71</f>
        <v>427.02981454000002</v>
      </c>
      <c r="D42" s="123">
        <f t="shared" ref="D42:D46" si="6">C42/$C$46</f>
        <v>2.5421943409590683E-2</v>
      </c>
      <c r="E42" s="123">
        <f t="shared" si="5"/>
        <v>-2.4771954621521153E-2</v>
      </c>
      <c r="F42" s="373">
        <f t="shared" ref="F42:F46" si="7">(B42/$B$46)*E42*100</f>
        <v>-6.440009688168595E-2</v>
      </c>
    </row>
    <row r="43" spans="1:14" x14ac:dyDescent="0.2">
      <c r="A43" t="s">
        <v>61</v>
      </c>
      <c r="B43" s="10">
        <f>'COMPTES NSA (Chiffres Utiles)'!Q7+'COMPTES NSA (Chiffres Utiles)'!Q14+'COMPTES NSA (Chiffres Utiles)'!Q21+'COMPTES NSA (Chiffres Utiles)'!Q28+'COMPTES NSA (Chiffres Utiles)'!Q42+'COMPTES NSA (Chiffres Utiles)'!Q49+'COMPTES NSA (Chiffres Utiles)'!Q56+'COMPTES NSA (Chiffres Utiles)'!Q63+'COMPTES NSA (Chiffres Utiles)'!Q70+'COMPTES NSA (Chiffres Utiles)'!Q35</f>
        <v>660.46059379999997</v>
      </c>
      <c r="C43" s="10">
        <f>'COMPTES NSA (Chiffres Utiles)'!R7+'COMPTES NSA (Chiffres Utiles)'!R14+'COMPTES NSA (Chiffres Utiles)'!R21+'COMPTES NSA (Chiffres Utiles)'!R28+'COMPTES NSA (Chiffres Utiles)'!R42+'COMPTES NSA (Chiffres Utiles)'!R49+'COMPTES NSA (Chiffres Utiles)'!R56+'COMPTES NSA (Chiffres Utiles)'!R63+'COMPTES NSA (Chiffres Utiles)'!R70+'COMPTES NSA (Chiffres Utiles)'!R35</f>
        <v>690.39751589000002</v>
      </c>
      <c r="D43" s="123">
        <f t="shared" si="6"/>
        <v>4.1100752175779361E-2</v>
      </c>
      <c r="E43" s="155">
        <f t="shared" si="5"/>
        <v>4.5327340300132413E-2</v>
      </c>
      <c r="F43" s="373">
        <f t="shared" si="7"/>
        <v>0.17773844501665645</v>
      </c>
    </row>
    <row r="44" spans="1:14" x14ac:dyDescent="0.2">
      <c r="A44" s="179" t="s">
        <v>62</v>
      </c>
      <c r="B44" s="180">
        <f>'COMPTES NSA (Chiffres Utiles)'!Q10+'COMPTES NSA (Chiffres Utiles)'!Q17+'COMPTES NSA (Chiffres Utiles)'!Q24+'COMPTES NSA (Chiffres Utiles)'!Q31+'COMPTES NSA (Chiffres Utiles)'!Q45+'COMPTES NSA (Chiffres Utiles)'!Q52+'COMPTES NSA (Chiffres Utiles)'!Q59+'COMPTES NSA (Chiffres Utiles)'!Q66+'COMPTES NSA (Chiffres Utiles)'!Q73</f>
        <v>7204.5720267200004</v>
      </c>
      <c r="C44" s="180">
        <f>'COMPTES NSA (Chiffres Utiles)'!R10+'COMPTES NSA (Chiffres Utiles)'!R17+'COMPTES NSA (Chiffres Utiles)'!R24+'COMPTES NSA (Chiffres Utiles)'!R31+'COMPTES NSA (Chiffres Utiles)'!R45+'COMPTES NSA (Chiffres Utiles)'!R52+'COMPTES NSA (Chiffres Utiles)'!R59+'COMPTES NSA (Chiffres Utiles)'!R66+'COMPTES NSA (Chiffres Utiles)'!R73</f>
        <v>7283.4598962299997</v>
      </c>
      <c r="D44" s="181">
        <f t="shared" si="6"/>
        <v>0.43359901113096239</v>
      </c>
      <c r="E44" s="181">
        <f t="shared" si="5"/>
        <v>1.0949695445811924E-2</v>
      </c>
      <c r="F44" s="372">
        <f t="shared" si="7"/>
        <v>0.46836502480887615</v>
      </c>
    </row>
    <row r="45" spans="1:14" x14ac:dyDescent="0.2">
      <c r="A45" t="s">
        <v>35</v>
      </c>
      <c r="B45" s="10">
        <f>'COMPTES NSA (Chiffres Utiles)'!Q9+'COMPTES NSA (Chiffres Utiles)'!Q16+'COMPTES NSA (Chiffres Utiles)'!Q23+'COMPTES NSA (Chiffres Utiles)'!Q30+'COMPTES NSA (Chiffres Utiles)'!Q44+'COMPTES NSA (Chiffres Utiles)'!Q51+'COMPTES NSA (Chiffres Utiles)'!Q58+'COMPTES NSA (Chiffres Utiles)'!Q65+'COMPTES NSA (Chiffres Utiles)'!Q72</f>
        <v>1246.9734998900001</v>
      </c>
      <c r="C45" s="10">
        <f>'COMPTES NSA (Chiffres Utiles)'!R9+'COMPTES NSA (Chiffres Utiles)'!R16+'COMPTES NSA (Chiffres Utiles)'!R23+'COMPTES NSA (Chiffres Utiles)'!R30+'COMPTES NSA (Chiffres Utiles)'!R44+'COMPTES NSA (Chiffres Utiles)'!R51+'COMPTES NSA (Chiffres Utiles)'!R58+'COMPTES NSA (Chiffres Utiles)'!R65+'COMPTES NSA (Chiffres Utiles)'!R72</f>
        <v>1222.1407849899999</v>
      </c>
      <c r="D45" s="123">
        <f t="shared" si="6"/>
        <v>7.2756498063341307E-2</v>
      </c>
      <c r="E45" s="155">
        <f t="shared" si="5"/>
        <v>-1.9914388639526659E-2</v>
      </c>
      <c r="F45" s="373">
        <f t="shared" si="7"/>
        <v>-0.14743426590746009</v>
      </c>
    </row>
    <row r="46" spans="1:14" x14ac:dyDescent="0.2">
      <c r="A46" s="6" t="s">
        <v>149</v>
      </c>
      <c r="B46" s="11">
        <f>SUM(B41:B45)</f>
        <v>16843.245189409998</v>
      </c>
      <c r="C46" s="11">
        <f>SUM(C41:C45)</f>
        <v>16797.685670989998</v>
      </c>
      <c r="D46" s="162">
        <f t="shared" si="6"/>
        <v>1</v>
      </c>
      <c r="E46" s="156">
        <f t="shared" si="5"/>
        <v>-2.7049133292107452E-3</v>
      </c>
      <c r="F46" s="374">
        <f t="shared" si="7"/>
        <v>-0.27049133292107452</v>
      </c>
    </row>
    <row r="47" spans="1:14" x14ac:dyDescent="0.2">
      <c r="C47" s="10"/>
    </row>
    <row r="48" spans="1:14" x14ac:dyDescent="0.2">
      <c r="I48" s="249"/>
      <c r="J48" s="248" t="s">
        <v>129</v>
      </c>
      <c r="K48" s="248" t="s">
        <v>60</v>
      </c>
      <c r="L48" s="248" t="s">
        <v>61</v>
      </c>
      <c r="M48" s="248" t="s">
        <v>62</v>
      </c>
      <c r="N48" s="248" t="s">
        <v>35</v>
      </c>
    </row>
    <row r="49" spans="9:14" x14ac:dyDescent="0.2">
      <c r="I49" s="512" t="s">
        <v>174</v>
      </c>
      <c r="J49" s="513">
        <f>E41</f>
        <v>-1.627569368368964E-2</v>
      </c>
      <c r="K49" s="513">
        <f>E42</f>
        <v>-2.4771954621521153E-2</v>
      </c>
      <c r="L49" s="513">
        <f>E43</f>
        <v>4.5327340300132413E-2</v>
      </c>
      <c r="M49" s="513">
        <f>E44</f>
        <v>1.0949695445811924E-2</v>
      </c>
      <c r="N49" s="513">
        <f>E45</f>
        <v>-1.9914388639526659E-2</v>
      </c>
    </row>
    <row r="50" spans="9:14" x14ac:dyDescent="0.2">
      <c r="I50" s="512"/>
      <c r="J50" s="513"/>
      <c r="K50" s="513"/>
      <c r="L50" s="513"/>
      <c r="M50" s="513"/>
      <c r="N50" s="513"/>
    </row>
    <row r="51" spans="9:14" x14ac:dyDescent="0.2">
      <c r="I51" s="512" t="s">
        <v>175</v>
      </c>
      <c r="J51" s="511">
        <f>F41</f>
        <v>-0.70476043995745408</v>
      </c>
      <c r="K51" s="511">
        <f>F42</f>
        <v>-6.440009688168595E-2</v>
      </c>
      <c r="L51" s="511">
        <f>F43</f>
        <v>0.17773844501665645</v>
      </c>
      <c r="M51" s="511">
        <f>F44</f>
        <v>0.46836502480887615</v>
      </c>
      <c r="N51" s="511">
        <f>F45</f>
        <v>-0.14743426590746009</v>
      </c>
    </row>
    <row r="52" spans="9:14" x14ac:dyDescent="0.2">
      <c r="I52" s="512"/>
      <c r="J52" s="511"/>
      <c r="K52" s="511"/>
      <c r="L52" s="511"/>
      <c r="M52" s="511"/>
      <c r="N52" s="511"/>
    </row>
  </sheetData>
  <mergeCells count="12">
    <mergeCell ref="N51:N52"/>
    <mergeCell ref="I49:I50"/>
    <mergeCell ref="J49:J50"/>
    <mergeCell ref="K49:K50"/>
    <mergeCell ref="L49:L50"/>
    <mergeCell ref="M49:M50"/>
    <mergeCell ref="N49:N50"/>
    <mergeCell ref="I51:I52"/>
    <mergeCell ref="J51:J52"/>
    <mergeCell ref="K51:K52"/>
    <mergeCell ref="L51:L52"/>
    <mergeCell ref="M51:M52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4294967295" verticalDpi="4294967295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1:N42"/>
  <sheetViews>
    <sheetView zoomScale="90" zoomScaleNormal="90" workbookViewId="0"/>
  </sheetViews>
  <sheetFormatPr baseColWidth="10" defaultRowHeight="12.75" x14ac:dyDescent="0.2"/>
  <cols>
    <col min="1" max="1" width="36.28515625" bestFit="1" customWidth="1"/>
    <col min="2" max="2" width="9.42578125" customWidth="1"/>
    <col min="3" max="3" width="9" customWidth="1"/>
    <col min="4" max="4" width="8" customWidth="1"/>
    <col min="5" max="5" width="8.42578125" bestFit="1" customWidth="1"/>
    <col min="6" max="6" width="12.140625" bestFit="1" customWidth="1"/>
    <col min="9" max="9" width="16" customWidth="1"/>
    <col min="10" max="14" width="9.28515625" customWidth="1"/>
  </cols>
  <sheetData>
    <row r="1" spans="1:7" x14ac:dyDescent="0.2">
      <c r="A1" s="6" t="s">
        <v>2</v>
      </c>
      <c r="B1" s="6">
        <f>'%charges'!B1</f>
        <v>2022</v>
      </c>
      <c r="C1" s="6">
        <f>'%charges'!C1</f>
        <v>2023</v>
      </c>
      <c r="D1" s="158" t="s">
        <v>22</v>
      </c>
      <c r="E1" s="6" t="s">
        <v>53</v>
      </c>
      <c r="F1" s="6" t="s">
        <v>54</v>
      </c>
    </row>
    <row r="2" spans="1:7" x14ac:dyDescent="0.2">
      <c r="A2" s="236" t="s">
        <v>19</v>
      </c>
      <c r="B2" s="237">
        <f>'COMPTES NSA (Chiffres Utiles)'!Q31</f>
        <v>2638.879426</v>
      </c>
      <c r="C2" s="237">
        <f>'COMPTES NSA (Chiffres Utiles)'!R31</f>
        <v>2611.8017663099999</v>
      </c>
      <c r="D2" s="238">
        <f t="shared" ref="D2:D9" si="0">C2/$C$10</f>
        <v>0.35859355354752454</v>
      </c>
      <c r="E2" s="239">
        <f t="shared" ref="E2" si="1">C2/B2-1</f>
        <v>-1.0261044677984499E-2</v>
      </c>
      <c r="F2" s="240">
        <f t="shared" ref="F2:F10" si="2">(B2/$B$10)*E2*100</f>
        <v>-0.37583994704439977</v>
      </c>
    </row>
    <row r="3" spans="1:7" x14ac:dyDescent="0.2">
      <c r="A3" s="231" t="s">
        <v>120</v>
      </c>
      <c r="B3" s="232">
        <v>0</v>
      </c>
      <c r="C3" s="232">
        <v>0</v>
      </c>
      <c r="D3" s="233">
        <f t="shared" si="0"/>
        <v>0</v>
      </c>
      <c r="E3" s="234" t="e">
        <f>C3/B3-1</f>
        <v>#DIV/0!</v>
      </c>
      <c r="F3" s="235" t="e">
        <f t="shared" si="2"/>
        <v>#DIV/0!</v>
      </c>
    </row>
    <row r="4" spans="1:7" x14ac:dyDescent="0.2">
      <c r="A4" s="236" t="s">
        <v>18</v>
      </c>
      <c r="B4" s="237">
        <f>'NSA1'!B19</f>
        <v>2644</v>
      </c>
      <c r="C4" s="237">
        <f>'NSA1'!C19</f>
        <v>2605.616567</v>
      </c>
      <c r="D4" s="238">
        <f t="shared" si="0"/>
        <v>0.35774434185443876</v>
      </c>
      <c r="E4" s="239">
        <f>C4/B4-1</f>
        <v>-1.4517183434190617E-2</v>
      </c>
      <c r="F4" s="240">
        <f t="shared" si="2"/>
        <v>-0.53276492840442435</v>
      </c>
    </row>
    <row r="5" spans="1:7" x14ac:dyDescent="0.2">
      <c r="A5" s="236" t="s">
        <v>17</v>
      </c>
      <c r="B5" s="237">
        <f>'COMPTES NSA (Chiffres Utiles)'!Q10</f>
        <v>1258.6198170999999</v>
      </c>
      <c r="C5" s="237">
        <f>'COMPTES NSA (Chiffres Utiles)'!R10</f>
        <v>1423.0053414799997</v>
      </c>
      <c r="D5" s="238">
        <f t="shared" si="0"/>
        <v>0.19537491271374519</v>
      </c>
      <c r="E5" s="239">
        <f t="shared" ref="E5:E10" si="3">C5/B5-1</f>
        <v>0.13060776745019198</v>
      </c>
      <c r="F5" s="240">
        <f t="shared" si="2"/>
        <v>2.2816834056254018</v>
      </c>
    </row>
    <row r="6" spans="1:7" x14ac:dyDescent="0.2">
      <c r="A6" s="126" t="s">
        <v>119</v>
      </c>
      <c r="B6" s="127">
        <f>B10-(B2+B4+B5+B7+B8+B3+B9)</f>
        <v>617.40857007000159</v>
      </c>
      <c r="C6" s="127">
        <f>C10-(C2+C4+C5+C7+C8+C3+C9)</f>
        <v>600.64875993999976</v>
      </c>
      <c r="D6" s="123">
        <f t="shared" si="0"/>
        <v>8.2467504249031737E-2</v>
      </c>
      <c r="E6" s="184">
        <f>C6/B6-1</f>
        <v>-2.7145412199415353E-2</v>
      </c>
      <c r="F6" s="170">
        <f t="shared" si="2"/>
        <v>-0.23262742141856255</v>
      </c>
    </row>
    <row r="7" spans="1:7" x14ac:dyDescent="0.2">
      <c r="A7" s="230" t="s">
        <v>113</v>
      </c>
      <c r="B7" s="127">
        <f>'NSA1'!B33</f>
        <v>31.4634958</v>
      </c>
      <c r="C7" s="127">
        <f>'NSA1'!C33</f>
        <v>29.999302530000001</v>
      </c>
      <c r="D7" s="123">
        <f t="shared" si="0"/>
        <v>4.1188257994703827E-3</v>
      </c>
      <c r="E7" s="184">
        <f>C7/B7-1</f>
        <v>-4.6536255198953436E-2</v>
      </c>
      <c r="F7" s="170">
        <f t="shared" si="2"/>
        <v>-2.0323112387101744E-2</v>
      </c>
    </row>
    <row r="8" spans="1:7" x14ac:dyDescent="0.2">
      <c r="A8" s="236" t="s">
        <v>59</v>
      </c>
      <c r="B8" s="237">
        <v>0</v>
      </c>
      <c r="C8" s="237">
        <v>0</v>
      </c>
      <c r="D8" s="238">
        <f t="shared" si="0"/>
        <v>0</v>
      </c>
      <c r="E8" s="239" t="e">
        <f t="shared" si="3"/>
        <v>#DIV/0!</v>
      </c>
      <c r="F8" s="240" t="e">
        <f t="shared" si="2"/>
        <v>#DIV/0!</v>
      </c>
      <c r="G8" s="126"/>
    </row>
    <row r="9" spans="1:7" x14ac:dyDescent="0.2">
      <c r="A9" s="126" t="s">
        <v>122</v>
      </c>
      <c r="B9" s="127">
        <f>'COMPTES NSA (Chiffres Utiles)'!Q17</f>
        <v>14.200717750000001</v>
      </c>
      <c r="C9" s="127">
        <f>'COMPTES NSA (Chiffres Utiles)'!R17</f>
        <v>12.388158969999999</v>
      </c>
      <c r="D9" s="123">
        <f t="shared" si="0"/>
        <v>1.7008618357893684E-3</v>
      </c>
      <c r="E9" s="184">
        <f t="shared" si="3"/>
        <v>-0.12763853291852112</v>
      </c>
      <c r="F9" s="170">
        <f t="shared" si="2"/>
        <v>-2.5158451789747731E-2</v>
      </c>
      <c r="G9" s="126"/>
    </row>
    <row r="10" spans="1:7" x14ac:dyDescent="0.2">
      <c r="A10" s="159" t="s">
        <v>23</v>
      </c>
      <c r="B10" s="161">
        <f>'COMPTES NSA (Chiffres Utiles)'!Q10+'COMPTES NSA (Chiffres Utiles)'!Q17+'COMPTES NSA (Chiffres Utiles)'!Q31+'COMPTES NSA (Chiffres Utiles)'!Q45+'COMPTES NSA (Chiffres Utiles)'!Q52+'COMPTES NSA (Chiffres Utiles)'!Q59+'COMPTES NSA (Chiffres Utiles)'!Q66+'COMPTES NSA (Chiffres Utiles)'!Q73</f>
        <v>7204.5720267200004</v>
      </c>
      <c r="C10" s="161">
        <f>'COMPTES NSA (Chiffres Utiles)'!R10+'COMPTES NSA (Chiffres Utiles)'!R17+'COMPTES NSA (Chiffres Utiles)'!R31+'COMPTES NSA (Chiffres Utiles)'!R45+'COMPTES NSA (Chiffres Utiles)'!R52+'COMPTES NSA (Chiffres Utiles)'!R59+'COMPTES NSA (Chiffres Utiles)'!R66+'COMPTES NSA (Chiffres Utiles)'!R73</f>
        <v>7283.4598962299997</v>
      </c>
      <c r="D10" s="162">
        <f>SUM(D2:D9)</f>
        <v>0.99999999999999989</v>
      </c>
      <c r="E10" s="185">
        <f t="shared" si="3"/>
        <v>1.0949695445811924E-2</v>
      </c>
      <c r="F10" s="157">
        <f t="shared" si="2"/>
        <v>1.0949695445811924</v>
      </c>
      <c r="G10" s="126"/>
    </row>
    <row r="11" spans="1:7" x14ac:dyDescent="0.2">
      <c r="A11" s="126"/>
      <c r="B11" s="270"/>
      <c r="C11" s="270"/>
      <c r="D11" s="126"/>
      <c r="E11" s="126"/>
      <c r="F11" s="126"/>
    </row>
    <row r="29" spans="9:14" x14ac:dyDescent="0.2">
      <c r="I29" s="249"/>
      <c r="J29" s="248" t="s">
        <v>129</v>
      </c>
      <c r="K29" s="248" t="s">
        <v>60</v>
      </c>
      <c r="L29" s="248" t="s">
        <v>61</v>
      </c>
      <c r="M29" s="248" t="s">
        <v>62</v>
      </c>
      <c r="N29" s="248" t="s">
        <v>35</v>
      </c>
    </row>
    <row r="30" spans="9:14" x14ac:dyDescent="0.2">
      <c r="I30" s="512" t="s">
        <v>165</v>
      </c>
      <c r="J30" s="513">
        <f>E37</f>
        <v>-1.6275693683689973E-2</v>
      </c>
      <c r="K30" s="513">
        <f>E38</f>
        <v>-2.4771954621521153E-2</v>
      </c>
      <c r="L30" s="513">
        <f>E39</f>
        <v>4.5327340300132413E-2</v>
      </c>
      <c r="M30" s="513">
        <f>E40</f>
        <v>1.0949695445811924E-2</v>
      </c>
      <c r="N30" s="513">
        <f>E41</f>
        <v>-1.9914388639526659E-2</v>
      </c>
    </row>
    <row r="31" spans="9:14" x14ac:dyDescent="0.2">
      <c r="I31" s="512"/>
      <c r="J31" s="513"/>
      <c r="K31" s="513"/>
      <c r="L31" s="513"/>
      <c r="M31" s="513"/>
      <c r="N31" s="513"/>
    </row>
    <row r="32" spans="9:14" x14ac:dyDescent="0.2">
      <c r="I32" s="512" t="s">
        <v>166</v>
      </c>
      <c r="J32" s="511">
        <f>F37</f>
        <v>-0.70476043995746862</v>
      </c>
      <c r="K32" s="511">
        <f>F38</f>
        <v>-6.440009688168595E-2</v>
      </c>
      <c r="L32" s="511">
        <f>F39</f>
        <v>0.17773844501665645</v>
      </c>
      <c r="M32" s="511">
        <f>F40</f>
        <v>0.46836502480887615</v>
      </c>
      <c r="N32" s="511">
        <f>F41</f>
        <v>-0.14743426590746009</v>
      </c>
    </row>
    <row r="33" spans="1:14" x14ac:dyDescent="0.2">
      <c r="I33" s="512"/>
      <c r="J33" s="511"/>
      <c r="K33" s="511"/>
      <c r="L33" s="511"/>
      <c r="M33" s="511"/>
      <c r="N33" s="511"/>
    </row>
    <row r="36" spans="1:14" x14ac:dyDescent="0.2">
      <c r="A36" s="6" t="s">
        <v>128</v>
      </c>
      <c r="B36" s="6">
        <f>B1</f>
        <v>2022</v>
      </c>
      <c r="C36" s="6">
        <f>C1</f>
        <v>2023</v>
      </c>
      <c r="D36" s="158" t="s">
        <v>22</v>
      </c>
      <c r="E36" s="6" t="s">
        <v>53</v>
      </c>
      <c r="F36" s="6" t="s">
        <v>54</v>
      </c>
    </row>
    <row r="37" spans="1:14" x14ac:dyDescent="0.2">
      <c r="A37" s="241" t="s">
        <v>127</v>
      </c>
      <c r="B37" s="180">
        <f>'COMPTES NSA (Chiffres Utiles)'!Q6+'COMPTES NSA (Chiffres Utiles)'!Q13+'COMPTES NSA (Chiffres Utiles)'!Q20+'COMPTES NSA (Chiffres Utiles)'!Q27+'COMPTES NSA (Chiffres Utiles)'!Q41+'COMPTES NSA (Chiffres Utiles)'!Q48+'COMPTES NSA (Chiffres Utiles)'!Q55+'COMPTES NSA (Chiffres Utiles)'!Q62+'COMPTES NSA (Chiffres Utiles)'!Q69+'COMPTES NSA (Chiffres Utiles)'!Q34</f>
        <v>7293.3621882400003</v>
      </c>
      <c r="C37" s="180">
        <f>'COMPTES NSA (Chiffres Utiles)'!R6+'COMPTES NSA (Chiffres Utiles)'!R13+'COMPTES NSA (Chiffres Utiles)'!R20+'COMPTES NSA (Chiffres Utiles)'!R27+'COMPTES NSA (Chiffres Utiles)'!R41+'COMPTES NSA (Chiffres Utiles)'!R48+'COMPTES NSA (Chiffres Utiles)'!R55+'COMPTES NSA (Chiffres Utiles)'!R62+'COMPTES NSA (Chiffres Utiles)'!R69+'COMPTES NSA (Chiffres Utiles)'!R34</f>
        <v>7174.6576593399996</v>
      </c>
      <c r="D37" s="181">
        <f>C37/$C$42</f>
        <v>0.42712179522032628</v>
      </c>
      <c r="E37" s="181">
        <f t="shared" ref="E37:E42" si="4">C37/B37-1</f>
        <v>-1.6275693683689973E-2</v>
      </c>
      <c r="F37" s="182">
        <f>(B37/$B$42)*E37*100</f>
        <v>-0.70476043995746862</v>
      </c>
    </row>
    <row r="38" spans="1:14" x14ac:dyDescent="0.2">
      <c r="A38" s="126" t="s">
        <v>60</v>
      </c>
      <c r="B38" s="127">
        <f>'COMPTES NSA (Chiffres Utiles)'!Q8+'COMPTES NSA (Chiffres Utiles)'!Q15+'COMPTES NSA (Chiffres Utiles)'!Q22+'COMPTES NSA (Chiffres Utiles)'!Q29+'COMPTES NSA (Chiffres Utiles)'!Q43+'COMPTES NSA (Chiffres Utiles)'!Q50+'COMPTES NSA (Chiffres Utiles)'!Q57+'COMPTES NSA (Chiffres Utiles)'!Q64+'COMPTES NSA (Chiffres Utiles)'!Q71</f>
        <v>437.87688075999995</v>
      </c>
      <c r="C38" s="127">
        <f>'COMPTES NSA (Chiffres Utiles)'!R8+'COMPTES NSA (Chiffres Utiles)'!R15+'COMPTES NSA (Chiffres Utiles)'!R22+'COMPTES NSA (Chiffres Utiles)'!R29+'COMPTES NSA (Chiffres Utiles)'!R43+'COMPTES NSA (Chiffres Utiles)'!R50+'COMPTES NSA (Chiffres Utiles)'!R57+'COMPTES NSA (Chiffres Utiles)'!R64+'COMPTES NSA (Chiffres Utiles)'!R71</f>
        <v>427.02981454000002</v>
      </c>
      <c r="D38" s="123">
        <f t="shared" ref="D38:D42" si="5">C38/$C$42</f>
        <v>2.5421943409590683E-2</v>
      </c>
      <c r="E38" s="123">
        <f t="shared" si="4"/>
        <v>-2.4771954621521153E-2</v>
      </c>
      <c r="F38" s="170">
        <f t="shared" ref="F38:F42" si="6">(B38/$B$42)*E38*100</f>
        <v>-6.440009688168595E-2</v>
      </c>
    </row>
    <row r="39" spans="1:14" x14ac:dyDescent="0.2">
      <c r="A39" t="s">
        <v>61</v>
      </c>
      <c r="B39" s="10">
        <f>'COMPTES NSA (Chiffres Utiles)'!Q7+'COMPTES NSA (Chiffres Utiles)'!Q14+'COMPTES NSA (Chiffres Utiles)'!Q21+'COMPTES NSA (Chiffres Utiles)'!Q28+'COMPTES NSA (Chiffres Utiles)'!Q42+'COMPTES NSA (Chiffres Utiles)'!Q49+'COMPTES NSA (Chiffres Utiles)'!Q56+'COMPTES NSA (Chiffres Utiles)'!Q63+'COMPTES NSA (Chiffres Utiles)'!Q70+'COMPTES NSA (Chiffres Utiles)'!Q35</f>
        <v>660.46059379999997</v>
      </c>
      <c r="C39" s="10">
        <f>'COMPTES NSA (Chiffres Utiles)'!R7+'COMPTES NSA (Chiffres Utiles)'!R14+'COMPTES NSA (Chiffres Utiles)'!R21+'COMPTES NSA (Chiffres Utiles)'!R28+'COMPTES NSA (Chiffres Utiles)'!R42+'COMPTES NSA (Chiffres Utiles)'!R49+'COMPTES NSA (Chiffres Utiles)'!R56+'COMPTES NSA (Chiffres Utiles)'!R63+'COMPTES NSA (Chiffres Utiles)'!R70+'COMPTES NSA (Chiffres Utiles)'!R35</f>
        <v>690.39751589000002</v>
      </c>
      <c r="D39" s="123">
        <f t="shared" si="5"/>
        <v>4.1100752175779361E-2</v>
      </c>
      <c r="E39" s="155">
        <f t="shared" si="4"/>
        <v>4.5327340300132413E-2</v>
      </c>
      <c r="F39" s="170">
        <f t="shared" si="6"/>
        <v>0.17773844501665645</v>
      </c>
    </row>
    <row r="40" spans="1:14" x14ac:dyDescent="0.2">
      <c r="A40" s="179" t="s">
        <v>62</v>
      </c>
      <c r="B40" s="180">
        <f>'COMPTES NSA (Chiffres Utiles)'!Q10+'COMPTES NSA (Chiffres Utiles)'!Q17+'COMPTES NSA (Chiffres Utiles)'!Q24+'COMPTES NSA (Chiffres Utiles)'!Q31+'COMPTES NSA (Chiffres Utiles)'!Q45+'COMPTES NSA (Chiffres Utiles)'!Q52+'COMPTES NSA (Chiffres Utiles)'!Q59+'COMPTES NSA (Chiffres Utiles)'!Q66+'COMPTES NSA (Chiffres Utiles)'!Q73</f>
        <v>7204.5720267200004</v>
      </c>
      <c r="C40" s="180">
        <f>'COMPTES NSA (Chiffres Utiles)'!R10+'COMPTES NSA (Chiffres Utiles)'!R17+'COMPTES NSA (Chiffres Utiles)'!R24+'COMPTES NSA (Chiffres Utiles)'!R31+'COMPTES NSA (Chiffres Utiles)'!R45+'COMPTES NSA (Chiffres Utiles)'!R52+'COMPTES NSA (Chiffres Utiles)'!R59+'COMPTES NSA (Chiffres Utiles)'!R66+'COMPTES NSA (Chiffres Utiles)'!R73</f>
        <v>7283.4598962299997</v>
      </c>
      <c r="D40" s="181">
        <f t="shared" si="5"/>
        <v>0.43359901113096239</v>
      </c>
      <c r="E40" s="181">
        <f t="shared" si="4"/>
        <v>1.0949695445811924E-2</v>
      </c>
      <c r="F40" s="182">
        <f t="shared" si="6"/>
        <v>0.46836502480887615</v>
      </c>
    </row>
    <row r="41" spans="1:14" x14ac:dyDescent="0.2">
      <c r="A41" t="s">
        <v>35</v>
      </c>
      <c r="B41" s="10">
        <f>'COMPTES NSA (Chiffres Utiles)'!Q9+'COMPTES NSA (Chiffres Utiles)'!Q16+'COMPTES NSA (Chiffres Utiles)'!Q23+'COMPTES NSA (Chiffres Utiles)'!Q30+'COMPTES NSA (Chiffres Utiles)'!Q44+'COMPTES NSA (Chiffres Utiles)'!Q51+'COMPTES NSA (Chiffres Utiles)'!Q58+'COMPTES NSA (Chiffres Utiles)'!Q65+'COMPTES NSA (Chiffres Utiles)'!Q72</f>
        <v>1246.9734998900001</v>
      </c>
      <c r="C41" s="10">
        <f>'COMPTES NSA (Chiffres Utiles)'!R9+'COMPTES NSA (Chiffres Utiles)'!R16+'COMPTES NSA (Chiffres Utiles)'!R23+'COMPTES NSA (Chiffres Utiles)'!R30+'COMPTES NSA (Chiffres Utiles)'!R44+'COMPTES NSA (Chiffres Utiles)'!R51+'COMPTES NSA (Chiffres Utiles)'!R58+'COMPTES NSA (Chiffres Utiles)'!R65+'COMPTES NSA (Chiffres Utiles)'!R72</f>
        <v>1222.1407849899999</v>
      </c>
      <c r="D41" s="123">
        <f t="shared" si="5"/>
        <v>7.2756498063341307E-2</v>
      </c>
      <c r="E41" s="155">
        <f t="shared" si="4"/>
        <v>-1.9914388639526659E-2</v>
      </c>
      <c r="F41" s="170">
        <f t="shared" si="6"/>
        <v>-0.14743426590746009</v>
      </c>
    </row>
    <row r="42" spans="1:14" x14ac:dyDescent="0.2">
      <c r="A42" s="6" t="s">
        <v>20</v>
      </c>
      <c r="B42" s="11">
        <f>SUM(B37:B41)</f>
        <v>16843.245189409998</v>
      </c>
      <c r="C42" s="11">
        <f>SUM(C37:C41)</f>
        <v>16797.685670989998</v>
      </c>
      <c r="D42" s="162">
        <f t="shared" si="5"/>
        <v>1</v>
      </c>
      <c r="E42" s="156">
        <f t="shared" si="4"/>
        <v>-2.7049133292107452E-3</v>
      </c>
      <c r="F42" s="242">
        <f t="shared" si="6"/>
        <v>-0.27049133292107452</v>
      </c>
    </row>
  </sheetData>
  <mergeCells count="12">
    <mergeCell ref="N32:N33"/>
    <mergeCell ref="I30:I31"/>
    <mergeCell ref="J30:J31"/>
    <mergeCell ref="K30:K31"/>
    <mergeCell ref="L30:L31"/>
    <mergeCell ref="M30:M31"/>
    <mergeCell ref="N30:N31"/>
    <mergeCell ref="I32:I33"/>
    <mergeCell ref="J32:J33"/>
    <mergeCell ref="K32:K33"/>
    <mergeCell ref="L32:L33"/>
    <mergeCell ref="M32:M33"/>
  </mergeCells>
  <pageMargins left="0.78740157499999996" right="0.78740157499999996" top="0.984251969" bottom="0.984251969" header="0.4921259845" footer="0.4921259845"/>
  <pageSetup paperSize="9" orientation="portrait" horizontalDpi="4294967295" verticalDpi="4294967295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8"/>
  <dimension ref="A1:N54"/>
  <sheetViews>
    <sheetView topLeftCell="A4" zoomScaleNormal="100" workbookViewId="0"/>
  </sheetViews>
  <sheetFormatPr baseColWidth="10" defaultRowHeight="12.75" x14ac:dyDescent="0.2"/>
  <cols>
    <col min="1" max="1" width="36.28515625" bestFit="1" customWidth="1"/>
    <col min="2" max="3" width="8.140625" bestFit="1" customWidth="1"/>
    <col min="4" max="4" width="7" bestFit="1" customWidth="1"/>
    <col min="5" max="5" width="8.42578125" bestFit="1" customWidth="1"/>
    <col min="6" max="6" width="12.140625" bestFit="1" customWidth="1"/>
    <col min="9" max="9" width="16" customWidth="1"/>
    <col min="10" max="14" width="9.28515625" customWidth="1"/>
  </cols>
  <sheetData>
    <row r="1" spans="1:7" x14ac:dyDescent="0.2">
      <c r="A1" s="6" t="s">
        <v>2</v>
      </c>
      <c r="B1" s="6">
        <f>'%charges'!B1</f>
        <v>2022</v>
      </c>
      <c r="C1" s="6">
        <f>'%charges'!C1</f>
        <v>2023</v>
      </c>
      <c r="D1" s="158" t="s">
        <v>22</v>
      </c>
      <c r="E1" s="6" t="s">
        <v>53</v>
      </c>
      <c r="F1" s="6" t="s">
        <v>54</v>
      </c>
    </row>
    <row r="2" spans="1:7" x14ac:dyDescent="0.2">
      <c r="A2" s="236" t="s">
        <v>19</v>
      </c>
      <c r="B2" s="237">
        <f>'COMPTES NSA (Chiffres Utiles)'!Q30</f>
        <v>666.27188158000001</v>
      </c>
      <c r="C2" s="237">
        <f>'COMPTES NSA (Chiffres Utiles)'!R30</f>
        <v>588.41516970999999</v>
      </c>
      <c r="D2" s="238">
        <f t="shared" ref="D2:D9" si="0">C2/$C$10</f>
        <v>0.48146267347981081</v>
      </c>
      <c r="E2" s="239">
        <f t="shared" ref="E2" si="1">C2/B2-1</f>
        <v>-0.11685426628746554</v>
      </c>
      <c r="F2" s="240">
        <f t="shared" ref="F2:F10" si="2">(B2/$B$10)*E2*100</f>
        <v>-6.2436540854210643</v>
      </c>
    </row>
    <row r="3" spans="1:7" x14ac:dyDescent="0.2">
      <c r="A3" s="231" t="s">
        <v>120</v>
      </c>
      <c r="B3" s="232">
        <v>0</v>
      </c>
      <c r="C3" s="232">
        <v>0</v>
      </c>
      <c r="D3" s="233">
        <f t="shared" si="0"/>
        <v>0</v>
      </c>
      <c r="E3" s="234" t="e">
        <f>C3/B3-1</f>
        <v>#DIV/0!</v>
      </c>
      <c r="F3" s="235" t="e">
        <f t="shared" si="2"/>
        <v>#DIV/0!</v>
      </c>
    </row>
    <row r="4" spans="1:7" x14ac:dyDescent="0.2">
      <c r="A4" s="236" t="s">
        <v>18</v>
      </c>
      <c r="B4" s="237">
        <v>0</v>
      </c>
      <c r="C4" s="237">
        <v>0</v>
      </c>
      <c r="D4" s="238">
        <f t="shared" si="0"/>
        <v>0</v>
      </c>
      <c r="E4" s="239" t="e">
        <f>C4/B4-1</f>
        <v>#DIV/0!</v>
      </c>
      <c r="F4" s="240" t="e">
        <f t="shared" si="2"/>
        <v>#DIV/0!</v>
      </c>
    </row>
    <row r="5" spans="1:7" x14ac:dyDescent="0.2">
      <c r="A5" s="236" t="s">
        <v>17</v>
      </c>
      <c r="B5" s="237">
        <f>'COMPTES NSA (Chiffres Utiles)'!Q9</f>
        <v>470.07117010000002</v>
      </c>
      <c r="C5" s="237">
        <f>'COMPTES NSA (Chiffres Utiles)'!R9</f>
        <v>524.13102487999993</v>
      </c>
      <c r="D5" s="238">
        <f t="shared" si="0"/>
        <v>0.42886305024530263</v>
      </c>
      <c r="E5" s="239">
        <f t="shared" ref="E5:E9" si="3">C5/B5-1</f>
        <v>0.11500355311834909</v>
      </c>
      <c r="F5" s="240">
        <f t="shared" si="2"/>
        <v>4.3352849747623887</v>
      </c>
    </row>
    <row r="6" spans="1:7" x14ac:dyDescent="0.2">
      <c r="A6" s="126" t="s">
        <v>119</v>
      </c>
      <c r="B6" s="127">
        <f>B10-(B2+B4+B5+B7+B8+B3+B9)</f>
        <v>108.97781060000011</v>
      </c>
      <c r="C6" s="127">
        <f>C10-(C2+C4+C5+C7+C8+C3+C9)</f>
        <v>109.59459040000002</v>
      </c>
      <c r="D6" s="123">
        <f t="shared" si="0"/>
        <v>8.9674276274886583E-2</v>
      </c>
      <c r="E6" s="184">
        <f>C6/B6-1</f>
        <v>5.6596824308003946E-3</v>
      </c>
      <c r="F6" s="170">
        <f t="shared" si="2"/>
        <v>4.9462141741931316E-2</v>
      </c>
    </row>
    <row r="7" spans="1:7" x14ac:dyDescent="0.2">
      <c r="A7" s="230" t="s">
        <v>113</v>
      </c>
      <c r="B7" s="127">
        <f>'NSA1'!B34</f>
        <v>0</v>
      </c>
      <c r="C7" s="127">
        <f>'NSA1'!C34</f>
        <v>0</v>
      </c>
      <c r="D7" s="123">
        <f t="shared" si="0"/>
        <v>0</v>
      </c>
      <c r="E7" s="184" t="e">
        <f>C7/B7-1</f>
        <v>#DIV/0!</v>
      </c>
      <c r="F7" s="170" t="e">
        <f t="shared" si="2"/>
        <v>#DIV/0!</v>
      </c>
    </row>
    <row r="8" spans="1:7" x14ac:dyDescent="0.2">
      <c r="A8" s="236" t="s">
        <v>59</v>
      </c>
      <c r="B8" s="237">
        <v>0</v>
      </c>
      <c r="C8" s="237">
        <v>0</v>
      </c>
      <c r="D8" s="238">
        <f t="shared" si="0"/>
        <v>0</v>
      </c>
      <c r="E8" s="239" t="e">
        <f t="shared" si="3"/>
        <v>#DIV/0!</v>
      </c>
      <c r="F8" s="240" t="e">
        <f t="shared" si="2"/>
        <v>#DIV/0!</v>
      </c>
      <c r="G8" s="126"/>
    </row>
    <row r="9" spans="1:7" x14ac:dyDescent="0.2">
      <c r="A9" s="126" t="s">
        <v>122</v>
      </c>
      <c r="B9" s="127">
        <f>'COMPTES NSA (Chiffres Utiles)'!Q16</f>
        <v>1.65263761</v>
      </c>
      <c r="C9" s="127">
        <f>'COMPTES NSA (Chiffres Utiles)'!R16</f>
        <v>0</v>
      </c>
      <c r="D9" s="123">
        <f t="shared" si="0"/>
        <v>0</v>
      </c>
      <c r="E9" s="184">
        <f t="shared" si="3"/>
        <v>-1</v>
      </c>
      <c r="F9" s="170">
        <f t="shared" si="2"/>
        <v>-0.13253189503592377</v>
      </c>
      <c r="G9" s="126"/>
    </row>
    <row r="10" spans="1:7" x14ac:dyDescent="0.2">
      <c r="A10" s="159" t="s">
        <v>23</v>
      </c>
      <c r="B10" s="161">
        <f>'COMPTES NSA (Chiffres Utiles)'!Q9+'COMPTES NSA (Chiffres Utiles)'!Q16+'COMPTES NSA (Chiffres Utiles)'!Q23+'COMPTES NSA (Chiffres Utiles)'!Q30+'COMPTES NSA (Chiffres Utiles)'!Q44+'COMPTES NSA (Chiffres Utiles)'!Q51+'COMPTES NSA (Chiffres Utiles)'!Q58+'COMPTES NSA (Chiffres Utiles)'!Q65+'COMPTES NSA (Chiffres Utiles)'!Q72</f>
        <v>1246.9734998900001</v>
      </c>
      <c r="C10" s="161">
        <f>'COMPTES NSA (Chiffres Utiles)'!R9+'COMPTES NSA (Chiffres Utiles)'!R16+'COMPTES NSA (Chiffres Utiles)'!R23+'COMPTES NSA (Chiffres Utiles)'!R30+'COMPTES NSA (Chiffres Utiles)'!R44+'COMPTES NSA (Chiffres Utiles)'!R51+'COMPTES NSA (Chiffres Utiles)'!R58+'COMPTES NSA (Chiffres Utiles)'!R65+'COMPTES NSA (Chiffres Utiles)'!R72</f>
        <v>1222.1407849899999</v>
      </c>
      <c r="D10" s="162">
        <f>SUM(D2:D9)</f>
        <v>1</v>
      </c>
      <c r="E10" s="185">
        <f>C10/B10-1</f>
        <v>-1.9914388639526659E-2</v>
      </c>
      <c r="F10" s="157">
        <f t="shared" si="2"/>
        <v>-1.9914388639526659</v>
      </c>
      <c r="G10" s="126"/>
    </row>
    <row r="11" spans="1:7" x14ac:dyDescent="0.2">
      <c r="A11" s="126"/>
      <c r="B11" s="270"/>
      <c r="C11" s="270"/>
      <c r="D11" s="126"/>
      <c r="E11" s="126"/>
      <c r="F11" s="126"/>
    </row>
    <row r="40" spans="1:6" x14ac:dyDescent="0.2">
      <c r="A40" s="6" t="s">
        <v>128</v>
      </c>
      <c r="B40" s="6">
        <f>B1</f>
        <v>2022</v>
      </c>
      <c r="C40" s="6">
        <f>C1</f>
        <v>2023</v>
      </c>
      <c r="D40" s="158" t="s">
        <v>22</v>
      </c>
      <c r="E40" s="6" t="s">
        <v>53</v>
      </c>
      <c r="F40" s="6" t="s">
        <v>54</v>
      </c>
    </row>
    <row r="41" spans="1:6" x14ac:dyDescent="0.2">
      <c r="A41" s="241" t="s">
        <v>127</v>
      </c>
      <c r="B41" s="180">
        <f>'COMPTES NSA (Chiffres Utiles)'!Q6+'COMPTES NSA (Chiffres Utiles)'!Q13+'COMPTES NSA (Chiffres Utiles)'!Q20+'COMPTES NSA (Chiffres Utiles)'!Q27+'COMPTES NSA (Chiffres Utiles)'!Q41+'COMPTES NSA (Chiffres Utiles)'!Q48+'COMPTES NSA (Chiffres Utiles)'!Q55+'COMPTES NSA (Chiffres Utiles)'!Q62+'COMPTES NSA (Chiffres Utiles)'!Q69+'COMPTES NSA (Chiffres Utiles)'!Q34</f>
        <v>7293.3621882400003</v>
      </c>
      <c r="C41" s="180">
        <f>'COMPTES NSA (Chiffres Utiles)'!R6+'COMPTES NSA (Chiffres Utiles)'!R13+'COMPTES NSA (Chiffres Utiles)'!R20+'COMPTES NSA (Chiffres Utiles)'!R27+'COMPTES NSA (Chiffres Utiles)'!R41+'COMPTES NSA (Chiffres Utiles)'!R48+'COMPTES NSA (Chiffres Utiles)'!R55+'COMPTES NSA (Chiffres Utiles)'!R62+'COMPTES NSA (Chiffres Utiles)'!R69+'COMPTES NSA (Chiffres Utiles)'!R34</f>
        <v>7174.6576593399996</v>
      </c>
      <c r="D41" s="181">
        <f>C41/$C$46</f>
        <v>0.42712179522032628</v>
      </c>
      <c r="E41" s="181">
        <f t="shared" ref="E41:E46" si="4">C41/B41-1</f>
        <v>-1.6275693683689973E-2</v>
      </c>
      <c r="F41" s="182">
        <f>(B41/$B$46)*E41*100</f>
        <v>-0.70476043995746862</v>
      </c>
    </row>
    <row r="42" spans="1:6" x14ac:dyDescent="0.2">
      <c r="A42" s="126" t="s">
        <v>60</v>
      </c>
      <c r="B42" s="127">
        <f>'COMPTES NSA (Chiffres Utiles)'!Q8+'COMPTES NSA (Chiffres Utiles)'!Q15+'COMPTES NSA (Chiffres Utiles)'!Q22+'COMPTES NSA (Chiffres Utiles)'!Q29+'COMPTES NSA (Chiffres Utiles)'!Q43+'COMPTES NSA (Chiffres Utiles)'!Q50+'COMPTES NSA (Chiffres Utiles)'!Q57+'COMPTES NSA (Chiffres Utiles)'!Q64+'COMPTES NSA (Chiffres Utiles)'!Q71</f>
        <v>437.87688075999995</v>
      </c>
      <c r="C42" s="127">
        <f>'COMPTES NSA (Chiffres Utiles)'!R8+'COMPTES NSA (Chiffres Utiles)'!R15+'COMPTES NSA (Chiffres Utiles)'!R22+'COMPTES NSA (Chiffres Utiles)'!R29+'COMPTES NSA (Chiffres Utiles)'!R43+'COMPTES NSA (Chiffres Utiles)'!R50+'COMPTES NSA (Chiffres Utiles)'!R57+'COMPTES NSA (Chiffres Utiles)'!R64+'COMPTES NSA (Chiffres Utiles)'!R71</f>
        <v>427.02981454000002</v>
      </c>
      <c r="D42" s="123">
        <f t="shared" ref="D42:D46" si="5">C42/$C$46</f>
        <v>2.5421943409590683E-2</v>
      </c>
      <c r="E42" s="123">
        <f t="shared" si="4"/>
        <v>-2.4771954621521153E-2</v>
      </c>
      <c r="F42" s="170">
        <f t="shared" ref="F42:F46" si="6">(B42/$B$46)*E42*100</f>
        <v>-6.440009688168595E-2</v>
      </c>
    </row>
    <row r="43" spans="1:6" x14ac:dyDescent="0.2">
      <c r="A43" t="s">
        <v>61</v>
      </c>
      <c r="B43" s="10">
        <f>'COMPTES NSA (Chiffres Utiles)'!Q7+'COMPTES NSA (Chiffres Utiles)'!Q14+'COMPTES NSA (Chiffres Utiles)'!Q21+'COMPTES NSA (Chiffres Utiles)'!Q28+'COMPTES NSA (Chiffres Utiles)'!Q42+'COMPTES NSA (Chiffres Utiles)'!Q49+'COMPTES NSA (Chiffres Utiles)'!Q56+'COMPTES NSA (Chiffres Utiles)'!Q63+'COMPTES NSA (Chiffres Utiles)'!Q70+'COMPTES NSA (Chiffres Utiles)'!Q35</f>
        <v>660.46059379999997</v>
      </c>
      <c r="C43" s="10">
        <f>'COMPTES NSA (Chiffres Utiles)'!R7+'COMPTES NSA (Chiffres Utiles)'!R14+'COMPTES NSA (Chiffres Utiles)'!R21+'COMPTES NSA (Chiffres Utiles)'!R28+'COMPTES NSA (Chiffres Utiles)'!R42+'COMPTES NSA (Chiffres Utiles)'!R49+'COMPTES NSA (Chiffres Utiles)'!R56+'COMPTES NSA (Chiffres Utiles)'!R63+'COMPTES NSA (Chiffres Utiles)'!R70+'COMPTES NSA (Chiffres Utiles)'!R35</f>
        <v>690.39751589000002</v>
      </c>
      <c r="D43" s="123">
        <f t="shared" si="5"/>
        <v>4.1100752175779361E-2</v>
      </c>
      <c r="E43" s="155">
        <f t="shared" si="4"/>
        <v>4.5327340300132413E-2</v>
      </c>
      <c r="F43" s="170">
        <f t="shared" si="6"/>
        <v>0.17773844501665645</v>
      </c>
    </row>
    <row r="44" spans="1:6" x14ac:dyDescent="0.2">
      <c r="A44" s="179" t="s">
        <v>62</v>
      </c>
      <c r="B44" s="180">
        <f>'COMPTES NSA (Chiffres Utiles)'!Q10+'COMPTES NSA (Chiffres Utiles)'!Q17+'COMPTES NSA (Chiffres Utiles)'!Q24+'COMPTES NSA (Chiffres Utiles)'!Q31+'COMPTES NSA (Chiffres Utiles)'!Q45+'COMPTES NSA (Chiffres Utiles)'!Q52+'COMPTES NSA (Chiffres Utiles)'!Q59+'COMPTES NSA (Chiffres Utiles)'!Q66+'COMPTES NSA (Chiffres Utiles)'!Q73</f>
        <v>7204.5720267200004</v>
      </c>
      <c r="C44" s="180">
        <f>'COMPTES NSA (Chiffres Utiles)'!R10+'COMPTES NSA (Chiffres Utiles)'!R17+'COMPTES NSA (Chiffres Utiles)'!R24+'COMPTES NSA (Chiffres Utiles)'!R31+'COMPTES NSA (Chiffres Utiles)'!R45+'COMPTES NSA (Chiffres Utiles)'!R52+'COMPTES NSA (Chiffres Utiles)'!R59+'COMPTES NSA (Chiffres Utiles)'!R66+'COMPTES NSA (Chiffres Utiles)'!R73</f>
        <v>7283.4598962299997</v>
      </c>
      <c r="D44" s="181">
        <f t="shared" si="5"/>
        <v>0.43359901113096239</v>
      </c>
      <c r="E44" s="181">
        <f t="shared" si="4"/>
        <v>1.0949695445811924E-2</v>
      </c>
      <c r="F44" s="182">
        <f t="shared" si="6"/>
        <v>0.46836502480887615</v>
      </c>
    </row>
    <row r="45" spans="1:6" x14ac:dyDescent="0.2">
      <c r="A45" t="s">
        <v>35</v>
      </c>
      <c r="B45" s="10">
        <f>'COMPTES NSA (Chiffres Utiles)'!Q9+'COMPTES NSA (Chiffres Utiles)'!Q16+'COMPTES NSA (Chiffres Utiles)'!Q23+'COMPTES NSA (Chiffres Utiles)'!Q30+'COMPTES NSA (Chiffres Utiles)'!Q44+'COMPTES NSA (Chiffres Utiles)'!Q51+'COMPTES NSA (Chiffres Utiles)'!Q58+'COMPTES NSA (Chiffres Utiles)'!Q65+'COMPTES NSA (Chiffres Utiles)'!Q72</f>
        <v>1246.9734998900001</v>
      </c>
      <c r="C45" s="10">
        <f>'COMPTES NSA (Chiffres Utiles)'!R9+'COMPTES NSA (Chiffres Utiles)'!R16+'COMPTES NSA (Chiffres Utiles)'!R23+'COMPTES NSA (Chiffres Utiles)'!R30+'COMPTES NSA (Chiffres Utiles)'!R44+'COMPTES NSA (Chiffres Utiles)'!R51+'COMPTES NSA (Chiffres Utiles)'!R58+'COMPTES NSA (Chiffres Utiles)'!R65+'COMPTES NSA (Chiffres Utiles)'!R72</f>
        <v>1222.1407849899999</v>
      </c>
      <c r="D45" s="123">
        <f t="shared" si="5"/>
        <v>7.2756498063341307E-2</v>
      </c>
      <c r="E45" s="155">
        <f t="shared" si="4"/>
        <v>-1.9914388639526659E-2</v>
      </c>
      <c r="F45" s="170">
        <f t="shared" si="6"/>
        <v>-0.14743426590746009</v>
      </c>
    </row>
    <row r="46" spans="1:6" x14ac:dyDescent="0.2">
      <c r="A46" s="6" t="s">
        <v>20</v>
      </c>
      <c r="B46" s="11">
        <f>SUM(B41:B45)</f>
        <v>16843.245189409998</v>
      </c>
      <c r="C46" s="11">
        <f>SUM(C41:C45)</f>
        <v>16797.685670989998</v>
      </c>
      <c r="D46" s="162">
        <f t="shared" si="5"/>
        <v>1</v>
      </c>
      <c r="E46" s="156">
        <f t="shared" si="4"/>
        <v>-2.7049133292107452E-3</v>
      </c>
      <c r="F46" s="242">
        <f t="shared" si="6"/>
        <v>-0.27049133292107452</v>
      </c>
    </row>
    <row r="50" spans="9:14" x14ac:dyDescent="0.2">
      <c r="I50" s="249"/>
      <c r="J50" s="248" t="s">
        <v>129</v>
      </c>
      <c r="K50" s="248" t="s">
        <v>60</v>
      </c>
      <c r="L50" s="248" t="s">
        <v>61</v>
      </c>
      <c r="M50" s="248" t="s">
        <v>62</v>
      </c>
      <c r="N50" s="248" t="s">
        <v>35</v>
      </c>
    </row>
    <row r="51" spans="9:14" x14ac:dyDescent="0.2">
      <c r="I51" s="512" t="s">
        <v>160</v>
      </c>
      <c r="J51" s="513">
        <f>E41</f>
        <v>-1.6275693683689973E-2</v>
      </c>
      <c r="K51" s="513">
        <f>E42</f>
        <v>-2.4771954621521153E-2</v>
      </c>
      <c r="L51" s="513">
        <f>E43</f>
        <v>4.5327340300132413E-2</v>
      </c>
      <c r="M51" s="513">
        <f>E44</f>
        <v>1.0949695445811924E-2</v>
      </c>
      <c r="N51" s="513">
        <f>E45</f>
        <v>-1.9914388639526659E-2</v>
      </c>
    </row>
    <row r="52" spans="9:14" x14ac:dyDescent="0.2">
      <c r="I52" s="512"/>
      <c r="J52" s="513"/>
      <c r="K52" s="513"/>
      <c r="L52" s="513"/>
      <c r="M52" s="513"/>
      <c r="N52" s="513"/>
    </row>
    <row r="53" spans="9:14" x14ac:dyDescent="0.2">
      <c r="I53" s="512" t="s">
        <v>161</v>
      </c>
      <c r="J53" s="511">
        <f>F41</f>
        <v>-0.70476043995746862</v>
      </c>
      <c r="K53" s="511">
        <f>F42</f>
        <v>-6.440009688168595E-2</v>
      </c>
      <c r="L53" s="511">
        <f>F43</f>
        <v>0.17773844501665645</v>
      </c>
      <c r="M53" s="511">
        <f>F44</f>
        <v>0.46836502480887615</v>
      </c>
      <c r="N53" s="511">
        <f>F45</f>
        <v>-0.14743426590746009</v>
      </c>
    </row>
    <row r="54" spans="9:14" x14ac:dyDescent="0.2">
      <c r="I54" s="512"/>
      <c r="J54" s="511"/>
      <c r="K54" s="511"/>
      <c r="L54" s="511"/>
      <c r="M54" s="511"/>
      <c r="N54" s="511"/>
    </row>
  </sheetData>
  <mergeCells count="12">
    <mergeCell ref="N53:N54"/>
    <mergeCell ref="I51:I52"/>
    <mergeCell ref="J51:J52"/>
    <mergeCell ref="K51:K52"/>
    <mergeCell ref="L51:L52"/>
    <mergeCell ref="M51:M52"/>
    <mergeCell ref="N51:N52"/>
    <mergeCell ref="I53:I54"/>
    <mergeCell ref="J53:J54"/>
    <mergeCell ref="K53:K54"/>
    <mergeCell ref="L53:L54"/>
    <mergeCell ref="M53:M54"/>
  </mergeCells>
  <pageMargins left="0.78740157499999996" right="0.78740157499999996" top="0.984251969" bottom="0.984251969" header="0.4921259845" footer="0.4921259845"/>
  <pageSetup paperSize="9" orientation="portrait" horizontalDpi="4294967295" verticalDpi="4294967295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7"/>
  <dimension ref="A1:D37"/>
  <sheetViews>
    <sheetView zoomScale="90" zoomScaleNormal="90" workbookViewId="0"/>
  </sheetViews>
  <sheetFormatPr baseColWidth="10" defaultColWidth="46" defaultRowHeight="12.75" x14ac:dyDescent="0.2"/>
  <cols>
    <col min="1" max="1" width="34.85546875" bestFit="1" customWidth="1"/>
    <col min="2" max="2" width="17.85546875" bestFit="1" customWidth="1"/>
    <col min="3" max="3" width="18.140625" bestFit="1" customWidth="1"/>
  </cols>
  <sheetData>
    <row r="1" spans="1:4" ht="24" x14ac:dyDescent="0.2">
      <c r="A1" s="381" t="s">
        <v>13</v>
      </c>
      <c r="B1" s="380" t="str">
        <f>'NSA1'!B1</f>
        <v>Réalisation 2022</v>
      </c>
      <c r="C1" s="380" t="str">
        <f>'NSA1'!C1</f>
        <v>Réalisation 2023</v>
      </c>
    </row>
    <row r="2" spans="1:4" x14ac:dyDescent="0.2">
      <c r="A2" s="8" t="s">
        <v>83</v>
      </c>
      <c r="B2" s="75">
        <f>'COMPTES NSA (Chiffres Utiles)'!D7+'COMPTES NSA (Chiffres Utiles)'!D14+'COMPTES NSA (Chiffres Utiles)'!D21+'COMPTES NSA (Chiffres Utiles)'!D30+'COMPTES NSA (Chiffres Utiles)'!D37+'COMPTES NSA (Chiffres Utiles)'!D44+'COMPTES NSA (Chiffres Utiles)'!D51</f>
        <v>7303.6836321400006</v>
      </c>
      <c r="C2" s="75">
        <f>'COMPTES NSA (Chiffres Utiles)'!E7+'COMPTES NSA (Chiffres Utiles)'!E14+'COMPTES NSA (Chiffres Utiles)'!E30+'COMPTES NSA (Chiffres Utiles)'!E37+'COMPTES NSA (Chiffres Utiles)'!E44+'COMPTES NSA (Chiffres Utiles)'!E51+'COMPTES NSA (Chiffres Utiles)'!E21</f>
        <v>7179.1982282800018</v>
      </c>
    </row>
    <row r="3" spans="1:4" x14ac:dyDescent="0.2">
      <c r="A3" s="8" t="s">
        <v>84</v>
      </c>
      <c r="B3" s="75">
        <f>'COMPTES NSA (Chiffres Utiles)'!Q6+'COMPTES NSA (Chiffres Utiles)'!Q13+'COMPTES NSA (Chiffres Utiles)'!Q20+'COMPTES NSA (Chiffres Utiles)'!Q27+'COMPTES NSA (Chiffres Utiles)'!Q41+'COMPTES NSA (Chiffres Utiles)'!Q48+'COMPTES NSA (Chiffres Utiles)'!Q55+'COMPTES NSA (Chiffres Utiles)'!Q62+'COMPTES NSA (Chiffres Utiles)'!Q69+'COMPTES NSA (Chiffres Utiles)'!Q34</f>
        <v>7293.3621882400003</v>
      </c>
      <c r="C3" s="75">
        <f>'COMPTES NSA (Chiffres Utiles)'!R6+'COMPTES NSA (Chiffres Utiles)'!R13+'COMPTES NSA (Chiffres Utiles)'!R20+'COMPTES NSA (Chiffres Utiles)'!R27+'COMPTES NSA (Chiffres Utiles)'!R41+'COMPTES NSA (Chiffres Utiles)'!R48+'COMPTES NSA (Chiffres Utiles)'!R55+'COMPTES NSA (Chiffres Utiles)'!R62+'COMPTES NSA (Chiffres Utiles)'!R69+'COMPTES NSA (Chiffres Utiles)'!R34</f>
        <v>7174.6576593399996</v>
      </c>
    </row>
    <row r="4" spans="1:4" x14ac:dyDescent="0.2">
      <c r="A4" s="355" t="s">
        <v>121</v>
      </c>
      <c r="B4" s="375">
        <f>B3-B2</f>
        <v>-10.321443900000304</v>
      </c>
      <c r="C4" s="375">
        <f>C3-C2</f>
        <v>-4.5405689400022311</v>
      </c>
    </row>
    <row r="5" spans="1:4" x14ac:dyDescent="0.2">
      <c r="A5" s="8" t="s">
        <v>85</v>
      </c>
      <c r="B5" s="75">
        <f>'COMPTES NSA (Chiffres Utiles)'!D11+'COMPTES NSA (Chiffres Utiles)'!D18+'COMPTES NSA (Chiffres Utiles)'!D25+'COMPTES NSA (Chiffres Utiles)'!D34+'COMPTES NSA (Chiffres Utiles)'!D41+'COMPTES NSA (Chiffres Utiles)'!D48+'COMPTES NSA (Chiffres Utiles)'!D55</f>
        <v>7099.6168018699982</v>
      </c>
      <c r="C5" s="75">
        <f>'COMPTES NSA (Chiffres Utiles)'!E11+'COMPTES NSA (Chiffres Utiles)'!E18+'COMPTES NSA (Chiffres Utiles)'!E25+'COMPTES NSA (Chiffres Utiles)'!E34+'COMPTES NSA (Chiffres Utiles)'!E41+'COMPTES NSA (Chiffres Utiles)'!E48+'COMPTES NSA (Chiffres Utiles)'!E55</f>
        <v>7091.91930813</v>
      </c>
    </row>
    <row r="6" spans="1:4" x14ac:dyDescent="0.2">
      <c r="A6" s="8" t="s">
        <v>86</v>
      </c>
      <c r="B6" s="75">
        <f>'COMPTES NSA (Chiffres Utiles)'!Q10+'COMPTES NSA (Chiffres Utiles)'!Q17+'COMPTES NSA (Chiffres Utiles)'!Q24+'COMPTES NSA (Chiffres Utiles)'!Q31+'COMPTES NSA (Chiffres Utiles)'!Q45+'COMPTES NSA (Chiffres Utiles)'!Q52+'COMPTES NSA (Chiffres Utiles)'!Q59+'COMPTES NSA (Chiffres Utiles)'!Q66+'COMPTES NSA (Chiffres Utiles)'!Q73</f>
        <v>7204.5720267200004</v>
      </c>
      <c r="C6" s="75">
        <f>'COMPTES NSA (Chiffres Utiles)'!R10+'COMPTES NSA (Chiffres Utiles)'!R17+'COMPTES NSA (Chiffres Utiles)'!R24+'COMPTES NSA (Chiffres Utiles)'!R31+'COMPTES NSA (Chiffres Utiles)'!R45+'COMPTES NSA (Chiffres Utiles)'!R52+'COMPTES NSA (Chiffres Utiles)'!R59+'COMPTES NSA (Chiffres Utiles)'!R66+'COMPTES NSA (Chiffres Utiles)'!R73</f>
        <v>7283.4598962299997</v>
      </c>
    </row>
    <row r="7" spans="1:4" x14ac:dyDescent="0.2">
      <c r="A7" s="355" t="s">
        <v>87</v>
      </c>
      <c r="B7" s="375">
        <f>B6-B5</f>
        <v>104.9552248500022</v>
      </c>
      <c r="C7" s="375">
        <f>C6-C5</f>
        <v>191.5405880999997</v>
      </c>
    </row>
    <row r="8" spans="1:4" x14ac:dyDescent="0.2">
      <c r="A8" s="313" t="s">
        <v>88</v>
      </c>
      <c r="B8" s="75">
        <f>'COMPTES NSA (Chiffres Utiles)'!D8+'COMPTES NSA (Chiffres Utiles)'!D15+'COMPTES NSA (Chiffres Utiles)'!D22+'COMPTES NSA (Chiffres Utiles)'!D31+'COMPTES NSA (Chiffres Utiles)'!D38+'COMPTES NSA (Chiffres Utiles)'!D45+'COMPTES NSA (Chiffres Utiles)'!D52</f>
        <v>422.34210016999998</v>
      </c>
      <c r="C8" s="75">
        <f>'COMPTES NSA (Chiffres Utiles)'!E8+'COMPTES NSA (Chiffres Utiles)'!E15+'COMPTES NSA (Chiffres Utiles)'!E22+'COMPTES NSA (Chiffres Utiles)'!E31+'COMPTES NSA (Chiffres Utiles)'!E38+'COMPTES NSA (Chiffres Utiles)'!E45+'COMPTES NSA (Chiffres Utiles)'!E52</f>
        <v>477.64435893999996</v>
      </c>
    </row>
    <row r="9" spans="1:4" x14ac:dyDescent="0.2">
      <c r="A9" s="313" t="s">
        <v>89</v>
      </c>
      <c r="B9" s="75">
        <f>+'COMPTES NSA (Chiffres Utiles)'!Q8+'COMPTES NSA (Chiffres Utiles)'!Q15+'COMPTES NSA (Chiffres Utiles)'!Q22+'COMPTES NSA (Chiffres Utiles)'!Q29+'COMPTES NSA (Chiffres Utiles)'!Q36+'COMPTES NSA (Chiffres Utiles)'!Q43+'COMPTES NSA (Chiffres Utiles)'!Q50+'COMPTES NSA (Chiffres Utiles)'!Q57+'COMPTES NSA (Chiffres Utiles)'!Q64+'COMPTES NSA (Chiffres Utiles)'!Q71</f>
        <v>437.87688075999995</v>
      </c>
      <c r="C9" s="376">
        <f>+'COMPTES NSA (Chiffres Utiles)'!R8+'COMPTES NSA (Chiffres Utiles)'!R15+'COMPTES NSA (Chiffres Utiles)'!R22+'COMPTES NSA (Chiffres Utiles)'!R29+'COMPTES NSA (Chiffres Utiles)'!R36+'COMPTES NSA (Chiffres Utiles)'!R43+'COMPTES NSA (Chiffres Utiles)'!R50+'COMPTES NSA (Chiffres Utiles)'!R57+'COMPTES NSA (Chiffres Utiles)'!R64+'COMPTES NSA (Chiffres Utiles)'!R71</f>
        <v>427.02981454000002</v>
      </c>
    </row>
    <row r="10" spans="1:4" x14ac:dyDescent="0.2">
      <c r="A10" s="355" t="s">
        <v>90</v>
      </c>
      <c r="B10" s="375">
        <f>B9-B8</f>
        <v>15.534780589999968</v>
      </c>
      <c r="C10" s="356">
        <f>C9-C8</f>
        <v>-50.614544399999943</v>
      </c>
    </row>
    <row r="11" spans="1:4" x14ac:dyDescent="0.2">
      <c r="A11" s="8" t="s">
        <v>91</v>
      </c>
      <c r="B11" s="75">
        <f>'COMPTES NSA (Chiffres Utiles)'!D9+'COMPTES NSA (Chiffres Utiles)'!D16+'COMPTES NSA (Chiffres Utiles)'!D23+'COMPTES NSA (Chiffres Utiles)'!D32+'COMPTES NSA (Chiffres Utiles)'!D39+'COMPTES NSA (Chiffres Utiles)'!D46+'COMPTES NSA (Chiffres Utiles)'!D53</f>
        <v>660.4635208200001</v>
      </c>
      <c r="C11" s="75">
        <f>'COMPTES NSA (Chiffres Utiles)'!E9+'COMPTES NSA (Chiffres Utiles)'!E16+'COMPTES NSA (Chiffres Utiles)'!E23+'COMPTES NSA (Chiffres Utiles)'!E32+'COMPTES NSA (Chiffres Utiles)'!E39+'COMPTES NSA (Chiffres Utiles)'!E46+'COMPTES NSA (Chiffres Utiles)'!E53</f>
        <v>690.39751589000002</v>
      </c>
    </row>
    <row r="12" spans="1:4" x14ac:dyDescent="0.2">
      <c r="A12" s="8" t="s">
        <v>92</v>
      </c>
      <c r="B12" s="75">
        <f>'COMPTES NSA (Chiffres Utiles)'!Q7+'COMPTES NSA (Chiffres Utiles)'!Q14+'COMPTES NSA (Chiffres Utiles)'!Q21+'COMPTES NSA (Chiffres Utiles)'!Q28+'COMPTES NSA (Chiffres Utiles)'!Q42+'COMPTES NSA (Chiffres Utiles)'!Q49+'COMPTES NSA (Chiffres Utiles)'!Q56+'COMPTES NSA (Chiffres Utiles)'!Q63+'COMPTES NSA (Chiffres Utiles)'!Q70+'COMPTES NSA (Chiffres Utiles)'!Q35</f>
        <v>660.46059379999997</v>
      </c>
      <c r="C12" s="75">
        <f>'COMPTES NSA (Chiffres Utiles)'!R7+'COMPTES NSA (Chiffres Utiles)'!R14+'COMPTES NSA (Chiffres Utiles)'!R21+'COMPTES NSA (Chiffres Utiles)'!R28+'COMPTES NSA (Chiffres Utiles)'!R42+'COMPTES NSA (Chiffres Utiles)'!R49+'COMPTES NSA (Chiffres Utiles)'!R56+'COMPTES NSA (Chiffres Utiles)'!R63+'COMPTES NSA (Chiffres Utiles)'!R70+'COMPTES NSA (Chiffres Utiles)'!R35</f>
        <v>690.39751589000002</v>
      </c>
    </row>
    <row r="13" spans="1:4" x14ac:dyDescent="0.2">
      <c r="A13" s="355" t="s">
        <v>93</v>
      </c>
      <c r="B13" s="375">
        <f>B12-B11</f>
        <v>-2.9270200001292324E-3</v>
      </c>
      <c r="C13" s="375">
        <f>C12-C11</f>
        <v>0</v>
      </c>
    </row>
    <row r="14" spans="1:4" x14ac:dyDescent="0.2">
      <c r="A14" s="8" t="s">
        <v>97</v>
      </c>
      <c r="B14" s="75">
        <f>'COMPTES NSA (Chiffres Utiles)'!D10+'COMPTES NSA (Chiffres Utiles)'!D17+'COMPTES NSA (Chiffres Utiles)'!D24+'COMPTES NSA (Chiffres Utiles)'!D33+'COMPTES NSA (Chiffres Utiles)'!D40+'COMPTES NSA (Chiffres Utiles)'!D47+'COMPTES NSA (Chiffres Utiles)'!D54</f>
        <v>1172.7162606199997</v>
      </c>
      <c r="C14" s="75">
        <f>'COMPTES NSA (Chiffres Utiles)'!E10+'COMPTES NSA (Chiffres Utiles)'!E17+'COMPTES NSA (Chiffres Utiles)'!E24+'COMPTES NSA (Chiffres Utiles)'!E33+'COMPTES NSA (Chiffres Utiles)'!E40+'COMPTES NSA (Chiffres Utiles)'!E47+'COMPTES NSA (Chiffres Utiles)'!E54</f>
        <v>1201.4819880700002</v>
      </c>
    </row>
    <row r="15" spans="1:4" x14ac:dyDescent="0.2">
      <c r="A15" s="8" t="s">
        <v>98</v>
      </c>
      <c r="B15" s="190">
        <f>'COMPTES NSA (Chiffres Utiles)'!Q9+'COMPTES NSA (Chiffres Utiles)'!Q16+'COMPTES NSA (Chiffres Utiles)'!Q23+'COMPTES NSA (Chiffres Utiles)'!Q30+'COMPTES NSA (Chiffres Utiles)'!Q44+'COMPTES NSA (Chiffres Utiles)'!Q51+'COMPTES NSA (Chiffres Utiles)'!Q58+'COMPTES NSA (Chiffres Utiles)'!Q65+'COMPTES NSA (Chiffres Utiles)'!Q72</f>
        <v>1246.9734998900001</v>
      </c>
      <c r="C15" s="190">
        <f>'COMPTES NSA (Chiffres Utiles)'!R9+'COMPTES NSA (Chiffres Utiles)'!R16+'COMPTES NSA (Chiffres Utiles)'!R23+'COMPTES NSA (Chiffres Utiles)'!R30+'COMPTES NSA (Chiffres Utiles)'!R44+'COMPTES NSA (Chiffres Utiles)'!R51+'COMPTES NSA (Chiffres Utiles)'!R58+'COMPTES NSA (Chiffres Utiles)'!R65+'COMPTES NSA (Chiffres Utiles)'!R72</f>
        <v>1222.1407849899999</v>
      </c>
      <c r="D15" s="298"/>
    </row>
    <row r="16" spans="1:4" x14ac:dyDescent="0.2">
      <c r="A16" s="355" t="s">
        <v>99</v>
      </c>
      <c r="B16" s="375">
        <f>B15-B14</f>
        <v>74.257239270000355</v>
      </c>
      <c r="C16" s="375">
        <f>C15-C14</f>
        <v>20.658796919999759</v>
      </c>
    </row>
    <row r="17" spans="1:4" x14ac:dyDescent="0.2">
      <c r="A17" s="8" t="s">
        <v>94</v>
      </c>
      <c r="B17" s="190">
        <f>B2+B5+B8+B11+B14</f>
        <v>16658.822315619997</v>
      </c>
      <c r="C17" s="190">
        <f>C2+C5+C8+C11+C14</f>
        <v>16640.641399310003</v>
      </c>
      <c r="D17" s="193"/>
    </row>
    <row r="18" spans="1:4" x14ac:dyDescent="0.2">
      <c r="A18" s="8" t="s">
        <v>95</v>
      </c>
      <c r="B18" s="190">
        <f>B3+B6+B9+B12+B15</f>
        <v>16843.245189410001</v>
      </c>
      <c r="C18" s="190">
        <f>C3+C6+C9+C12+C15</f>
        <v>16797.685670989998</v>
      </c>
      <c r="D18" s="193"/>
    </row>
    <row r="19" spans="1:4" x14ac:dyDescent="0.2">
      <c r="A19" s="191" t="s">
        <v>96</v>
      </c>
      <c r="B19" s="192">
        <f>B18-B17</f>
        <v>184.42287379000481</v>
      </c>
      <c r="C19" s="192">
        <f>C18-C17</f>
        <v>157.04427167999529</v>
      </c>
    </row>
    <row r="20" spans="1:4" x14ac:dyDescent="0.2">
      <c r="B20" s="223"/>
      <c r="C20" s="223"/>
    </row>
    <row r="22" spans="1:4" ht="13.5" thickBot="1" x14ac:dyDescent="0.25"/>
    <row r="23" spans="1:4" x14ac:dyDescent="0.2">
      <c r="A23" s="514" t="s">
        <v>114</v>
      </c>
      <c r="B23" s="516">
        <v>2021</v>
      </c>
      <c r="C23" s="519">
        <v>2023</v>
      </c>
      <c r="D23" s="519" t="s">
        <v>169</v>
      </c>
    </row>
    <row r="24" spans="1:4" ht="31.5" customHeight="1" x14ac:dyDescent="0.2">
      <c r="A24" s="514"/>
      <c r="B24" s="517"/>
      <c r="C24" s="520"/>
      <c r="D24" s="520"/>
    </row>
    <row r="25" spans="1:4" ht="13.5" thickBot="1" x14ac:dyDescent="0.25">
      <c r="A25" s="515"/>
      <c r="B25" s="518"/>
      <c r="C25" s="521"/>
      <c r="D25" s="521"/>
    </row>
    <row r="26" spans="1:4" ht="13.5" thickBot="1" x14ac:dyDescent="0.25">
      <c r="A26" s="225" t="s">
        <v>115</v>
      </c>
      <c r="B26" s="353">
        <f>[3]Maladie!$H$213</f>
        <v>4231.4442780600002</v>
      </c>
      <c r="C26" s="353">
        <f>[3]Maladie!$I$213</f>
        <v>3963.1403612499998</v>
      </c>
      <c r="D26" s="226">
        <f>C26/B26-1</f>
        <v>-6.3407172392923594E-2</v>
      </c>
    </row>
    <row r="27" spans="1:4" ht="13.5" thickBot="1" x14ac:dyDescent="0.25">
      <c r="A27" s="227" t="s">
        <v>116</v>
      </c>
      <c r="B27" s="354">
        <f>[3]Famille!$H$123</f>
        <v>408.39499180000001</v>
      </c>
      <c r="C27" s="354">
        <f>[3]Famille!$I$123</f>
        <v>426.29611506999998</v>
      </c>
      <c r="D27" s="226">
        <f>C27/B27-1</f>
        <v>4.3832866781986723E-2</v>
      </c>
    </row>
    <row r="28" spans="1:4" ht="13.5" thickBot="1" x14ac:dyDescent="0.25">
      <c r="A28" s="228" t="s">
        <v>117</v>
      </c>
      <c r="B28" s="307">
        <f>SUM(B26:B27)</f>
        <v>4639.8392698600001</v>
      </c>
      <c r="C28" s="307">
        <f>SUM(C26:C27)</f>
        <v>4389.4364763200001</v>
      </c>
      <c r="D28" s="229">
        <f>C28/B28-1</f>
        <v>-5.3967988754825003E-2</v>
      </c>
    </row>
    <row r="37" spans="4:4" x14ac:dyDescent="0.2">
      <c r="D37" t="s">
        <v>157</v>
      </c>
    </row>
  </sheetData>
  <mergeCells count="4">
    <mergeCell ref="A23:A25"/>
    <mergeCell ref="B23:B25"/>
    <mergeCell ref="C23:C25"/>
    <mergeCell ref="D23:D2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Feuil1</vt:lpstr>
      <vt:lpstr>COMPTES NSA (Chiffres Utiles)</vt:lpstr>
      <vt:lpstr>NSA1</vt:lpstr>
      <vt:lpstr>Effectifs</vt:lpstr>
      <vt:lpstr>%charges</vt:lpstr>
      <vt:lpstr>%produits</vt:lpstr>
      <vt:lpstr>%produitsRetraite</vt:lpstr>
      <vt:lpstr>%produitsRCO</vt:lpstr>
      <vt:lpstr>Résultat net</vt:lpstr>
      <vt:lpstr>Charges techniques</vt:lpstr>
      <vt:lpstr>'COMPTES NSA (Chiffres Utiles)'!Zone_d_impression</vt:lpstr>
    </vt:vector>
  </TitlesOfParts>
  <Company>GETIMA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GUERINVA</dc:creator>
  <cp:lastModifiedBy>Claudine Gaillard</cp:lastModifiedBy>
  <cp:lastPrinted>2016-04-13T13:53:00Z</cp:lastPrinted>
  <dcterms:created xsi:type="dcterms:W3CDTF">2012-05-14T13:27:34Z</dcterms:created>
  <dcterms:modified xsi:type="dcterms:W3CDTF">2024-07-02T07:05:50Z</dcterms:modified>
</cp:coreProperties>
</file>