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SY prévisions SA - 2 février\A diffuser\"/>
    </mc:Choice>
  </mc:AlternateContent>
  <xr:revisionPtr revIDLastSave="0" documentId="13_ncr:1_{37BDA632-C419-4C7A-B5C8-4C2DF9BD1B4F}" xr6:coauthVersionLast="47" xr6:coauthVersionMax="47" xr10:uidLastSave="{00000000-0000-0000-0000-000000000000}"/>
  <bookViews>
    <workbookView xWindow="-120" yWindow="-120" windowWidth="25440" windowHeight="15390" tabRatio="813" xr2:uid="{00000000-000D-0000-FFFF-FFFF00000000}"/>
  </bookViews>
  <sheets>
    <sheet name="Prévisions SA" sheetId="34" r:id="rId1"/>
    <sheet name="EFFECTIFS" sheetId="27" r:id="rId2"/>
    <sheet name="TableauxNote" sheetId="15" r:id="rId3"/>
    <sheet name="Détail CHG PDT" sheetId="28" r:id="rId4"/>
    <sheet name="RESULTAT NET" sheetId="29" r:id="rId5"/>
    <sheet name="RETRAITE" sheetId="32" r:id="rId6"/>
    <sheet name="TCDC SA (Charges)" sheetId="30" r:id="rId7"/>
    <sheet name="CHARGES_PRODUITS" sheetId="1" r:id="rId8"/>
    <sheet name="Prest._cotisa." sheetId="2" r:id="rId9"/>
    <sheet name="SOLDES" sheetId="26" r:id="rId10"/>
    <sheet name="Masse Salariale" sheetId="33" r:id="rId11"/>
  </sheets>
  <externalReferences>
    <externalReference r:id="rId12"/>
    <externalReference r:id="rId13"/>
    <externalReference r:id="rId14"/>
    <externalReference r:id="rId15"/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29" l="1"/>
  <c r="A26" i="29"/>
  <c r="J24" i="2" l="1"/>
  <c r="H24" i="32"/>
  <c r="H17" i="32"/>
  <c r="H16" i="32"/>
  <c r="H15" i="32"/>
  <c r="P9" i="30" l="1"/>
  <c r="M16" i="15" l="1"/>
  <c r="B52" i="26" s="1"/>
  <c r="M15" i="15"/>
  <c r="B51" i="26" s="1"/>
  <c r="M17" i="15"/>
  <c r="B53" i="26" s="1"/>
  <c r="N17" i="15"/>
  <c r="M14" i="15"/>
  <c r="B50" i="26" s="1"/>
  <c r="M18" i="15" l="1"/>
  <c r="B12" i="29" s="1"/>
  <c r="C53" i="26"/>
  <c r="H52" i="26"/>
  <c r="G52" i="26"/>
  <c r="F52" i="26"/>
  <c r="E52" i="26"/>
  <c r="H51" i="26"/>
  <c r="G51" i="26"/>
  <c r="F51" i="26"/>
  <c r="E51" i="26"/>
  <c r="D51" i="26"/>
  <c r="O16" i="15" l="1"/>
  <c r="D52" i="26" s="1"/>
  <c r="N16" i="15"/>
  <c r="C52" i="26" s="1"/>
  <c r="I136" i="33" l="1"/>
  <c r="G135" i="33"/>
  <c r="K133" i="33"/>
  <c r="K132" i="33"/>
  <c r="J132" i="33"/>
  <c r="I132" i="33"/>
  <c r="H132" i="33"/>
  <c r="G132" i="33"/>
  <c r="F132" i="33"/>
  <c r="E132" i="33"/>
  <c r="D132" i="33"/>
  <c r="C132" i="33"/>
  <c r="K131" i="33"/>
  <c r="J131" i="33"/>
  <c r="I131" i="33"/>
  <c r="H131" i="33"/>
  <c r="G131" i="33"/>
  <c r="F131" i="33"/>
  <c r="E131" i="33"/>
  <c r="E133" i="33" s="1"/>
  <c r="D131" i="33"/>
  <c r="C131" i="33"/>
  <c r="C133" i="33" s="1"/>
  <c r="B131" i="33"/>
  <c r="K129" i="33"/>
  <c r="J129" i="33"/>
  <c r="I129" i="33"/>
  <c r="H129" i="33"/>
  <c r="G129" i="33"/>
  <c r="F129" i="33"/>
  <c r="E129" i="33"/>
  <c r="D129" i="33"/>
  <c r="C129" i="33"/>
  <c r="K128" i="33"/>
  <c r="J128" i="33"/>
  <c r="I128" i="33"/>
  <c r="H128" i="33"/>
  <c r="G128" i="33"/>
  <c r="F128" i="33"/>
  <c r="E128" i="33"/>
  <c r="E130" i="33" s="1"/>
  <c r="D128" i="33"/>
  <c r="C128" i="33"/>
  <c r="H127" i="33"/>
  <c r="K126" i="33"/>
  <c r="J126" i="33"/>
  <c r="I126" i="33"/>
  <c r="H126" i="33"/>
  <c r="G126" i="33"/>
  <c r="F126" i="33"/>
  <c r="E126" i="33"/>
  <c r="D126" i="33"/>
  <c r="C126" i="33"/>
  <c r="K125" i="33"/>
  <c r="J125" i="33"/>
  <c r="I125" i="33"/>
  <c r="H125" i="33"/>
  <c r="G125" i="33"/>
  <c r="F125" i="33"/>
  <c r="E125" i="33"/>
  <c r="E127" i="33" s="1"/>
  <c r="D125" i="33"/>
  <c r="C125" i="33"/>
  <c r="C127" i="33" s="1"/>
  <c r="J124" i="33"/>
  <c r="F124" i="33"/>
  <c r="K123" i="33"/>
  <c r="J123" i="33"/>
  <c r="I123" i="33"/>
  <c r="H123" i="33"/>
  <c r="G123" i="33"/>
  <c r="F123" i="33"/>
  <c r="E123" i="33"/>
  <c r="D123" i="33"/>
  <c r="C123" i="33"/>
  <c r="K122" i="33"/>
  <c r="J122" i="33"/>
  <c r="I122" i="33"/>
  <c r="H122" i="33"/>
  <c r="G122" i="33"/>
  <c r="F122" i="33"/>
  <c r="E122" i="33"/>
  <c r="E124" i="33" s="1"/>
  <c r="E134" i="33" s="1"/>
  <c r="D122" i="33"/>
  <c r="C122" i="33"/>
  <c r="K121" i="33"/>
  <c r="J121" i="33"/>
  <c r="I121" i="33"/>
  <c r="H121" i="33"/>
  <c r="G121" i="33"/>
  <c r="F121" i="33"/>
  <c r="E121" i="33"/>
  <c r="D121" i="33"/>
  <c r="C121" i="33"/>
  <c r="C124" i="33" s="1"/>
  <c r="B121" i="33"/>
  <c r="L119" i="33"/>
  <c r="I114" i="33"/>
  <c r="K136" i="33" s="1"/>
  <c r="H114" i="33"/>
  <c r="G114" i="33"/>
  <c r="H136" i="33" s="1"/>
  <c r="F114" i="33"/>
  <c r="G136" i="33" s="1"/>
  <c r="E114" i="33"/>
  <c r="F136" i="33" s="1"/>
  <c r="D114" i="33"/>
  <c r="D136" i="33" s="1"/>
  <c r="C114" i="33"/>
  <c r="I113" i="33"/>
  <c r="J135" i="33" s="1"/>
  <c r="H113" i="33"/>
  <c r="I135" i="33" s="1"/>
  <c r="G113" i="33"/>
  <c r="H135" i="33" s="1"/>
  <c r="F113" i="33"/>
  <c r="E113" i="33"/>
  <c r="F135" i="33" s="1"/>
  <c r="D113" i="33"/>
  <c r="D135" i="33" s="1"/>
  <c r="C113" i="33"/>
  <c r="G112" i="33"/>
  <c r="H134" i="33" s="1"/>
  <c r="C112" i="33"/>
  <c r="I111" i="33"/>
  <c r="J133" i="33" s="1"/>
  <c r="H111" i="33"/>
  <c r="I133" i="33" s="1"/>
  <c r="G111" i="33"/>
  <c r="H133" i="33" s="1"/>
  <c r="F111" i="33"/>
  <c r="F112" i="33" s="1"/>
  <c r="E111" i="33"/>
  <c r="F133" i="33" s="1"/>
  <c r="D111" i="33"/>
  <c r="D133" i="33" s="1"/>
  <c r="I108" i="33"/>
  <c r="J130" i="33" s="1"/>
  <c r="H108" i="33"/>
  <c r="I130" i="33" s="1"/>
  <c r="G108" i="33"/>
  <c r="H130" i="33" s="1"/>
  <c r="F108" i="33"/>
  <c r="G130" i="33" s="1"/>
  <c r="E108" i="33"/>
  <c r="F130" i="33" s="1"/>
  <c r="D108" i="33"/>
  <c r="D130" i="33" s="1"/>
  <c r="B106" i="33"/>
  <c r="B109" i="33" s="1"/>
  <c r="I105" i="33"/>
  <c r="K127" i="33" s="1"/>
  <c r="H105" i="33"/>
  <c r="I127" i="33" s="1"/>
  <c r="G105" i="33"/>
  <c r="F105" i="33"/>
  <c r="G127" i="33" s="1"/>
  <c r="E105" i="33"/>
  <c r="F127" i="33" s="1"/>
  <c r="D105" i="33"/>
  <c r="D127" i="33" s="1"/>
  <c r="I102" i="33"/>
  <c r="K124" i="33" s="1"/>
  <c r="H102" i="33"/>
  <c r="I124" i="33" s="1"/>
  <c r="G102" i="33"/>
  <c r="H124" i="33" s="1"/>
  <c r="F102" i="33"/>
  <c r="G124" i="33" s="1"/>
  <c r="E102" i="33"/>
  <c r="D102" i="33"/>
  <c r="D124" i="33" s="1"/>
  <c r="D98" i="33"/>
  <c r="E98" i="33" s="1"/>
  <c r="F98" i="33" s="1"/>
  <c r="G98" i="33" s="1"/>
  <c r="H98" i="33" s="1"/>
  <c r="I98" i="33" s="1"/>
  <c r="K88" i="33"/>
  <c r="J88" i="33"/>
  <c r="I88" i="33"/>
  <c r="H88" i="33"/>
  <c r="G88" i="33"/>
  <c r="F88" i="33"/>
  <c r="D88" i="33"/>
  <c r="C88" i="33"/>
  <c r="K87" i="33"/>
  <c r="J87" i="33"/>
  <c r="I87" i="33"/>
  <c r="H87" i="33"/>
  <c r="G87" i="33"/>
  <c r="F87" i="33"/>
  <c r="E87" i="33"/>
  <c r="D87" i="33"/>
  <c r="C87" i="33"/>
  <c r="K86" i="33"/>
  <c r="J86" i="33"/>
  <c r="I86" i="33"/>
  <c r="H86" i="33"/>
  <c r="G86" i="33"/>
  <c r="F86" i="33"/>
  <c r="E86" i="33"/>
  <c r="D86" i="33"/>
  <c r="C86" i="33"/>
  <c r="K85" i="33"/>
  <c r="J85" i="33"/>
  <c r="I85" i="33"/>
  <c r="H85" i="33"/>
  <c r="G85" i="33"/>
  <c r="F85" i="33"/>
  <c r="E85" i="33"/>
  <c r="D85" i="33"/>
  <c r="C85" i="33"/>
  <c r="K84" i="33"/>
  <c r="J84" i="33"/>
  <c r="I84" i="33"/>
  <c r="H84" i="33"/>
  <c r="G84" i="33"/>
  <c r="F84" i="33"/>
  <c r="E84" i="33"/>
  <c r="D84" i="33"/>
  <c r="C84" i="33"/>
  <c r="K83" i="33"/>
  <c r="J83" i="33"/>
  <c r="I83" i="33"/>
  <c r="H83" i="33"/>
  <c r="G83" i="33"/>
  <c r="F83" i="33"/>
  <c r="E83" i="33"/>
  <c r="D83" i="33"/>
  <c r="C83" i="33"/>
  <c r="K82" i="33"/>
  <c r="J82" i="33"/>
  <c r="I82" i="33"/>
  <c r="H82" i="33"/>
  <c r="G82" i="33"/>
  <c r="F82" i="33"/>
  <c r="E82" i="33"/>
  <c r="D82" i="33"/>
  <c r="C82" i="33"/>
  <c r="B82" i="33"/>
  <c r="B85" i="33" s="1"/>
  <c r="K81" i="33"/>
  <c r="J81" i="33"/>
  <c r="I81" i="33"/>
  <c r="H81" i="33"/>
  <c r="G81" i="33"/>
  <c r="F81" i="33"/>
  <c r="E81" i="33"/>
  <c r="D81" i="33"/>
  <c r="C81" i="33"/>
  <c r="K80" i="33"/>
  <c r="J80" i="33"/>
  <c r="I80" i="33"/>
  <c r="H80" i="33"/>
  <c r="G80" i="33"/>
  <c r="F80" i="33"/>
  <c r="E80" i="33"/>
  <c r="D80" i="33"/>
  <c r="C80" i="33"/>
  <c r="K79" i="33"/>
  <c r="J79" i="33"/>
  <c r="I79" i="33"/>
  <c r="H79" i="33"/>
  <c r="G79" i="33"/>
  <c r="F79" i="33"/>
  <c r="E79" i="33"/>
  <c r="D79" i="33"/>
  <c r="C79" i="33"/>
  <c r="K78" i="33"/>
  <c r="J78" i="33"/>
  <c r="I78" i="33"/>
  <c r="H78" i="33"/>
  <c r="G78" i="33"/>
  <c r="F78" i="33"/>
  <c r="D78" i="33"/>
  <c r="C78" i="33"/>
  <c r="K77" i="33"/>
  <c r="J77" i="33"/>
  <c r="I77" i="33"/>
  <c r="H77" i="33"/>
  <c r="G77" i="33"/>
  <c r="F77" i="33"/>
  <c r="E77" i="33"/>
  <c r="D77" i="33"/>
  <c r="C77" i="33"/>
  <c r="K76" i="33"/>
  <c r="J76" i="33"/>
  <c r="I76" i="33"/>
  <c r="H76" i="33"/>
  <c r="G76" i="33"/>
  <c r="F76" i="33"/>
  <c r="E76" i="33"/>
  <c r="D76" i="33"/>
  <c r="C76" i="33"/>
  <c r="K75" i="33"/>
  <c r="J75" i="33"/>
  <c r="I75" i="33"/>
  <c r="H75" i="33"/>
  <c r="G75" i="33"/>
  <c r="F75" i="33"/>
  <c r="E75" i="33"/>
  <c r="D75" i="33"/>
  <c r="C75" i="33"/>
  <c r="B63" i="33"/>
  <c r="B60" i="33"/>
  <c r="H52" i="33"/>
  <c r="I52" i="33" s="1"/>
  <c r="G52" i="33"/>
  <c r="F52" i="33"/>
  <c r="I42" i="33"/>
  <c r="K41" i="33"/>
  <c r="J41" i="33"/>
  <c r="I41" i="33"/>
  <c r="H41" i="33"/>
  <c r="G41" i="33"/>
  <c r="F41" i="33"/>
  <c r="E41" i="33"/>
  <c r="D41" i="33"/>
  <c r="C41" i="33"/>
  <c r="K40" i="33"/>
  <c r="J40" i="33"/>
  <c r="I40" i="33"/>
  <c r="H40" i="33"/>
  <c r="G40" i="33"/>
  <c r="F40" i="33"/>
  <c r="E40" i="33"/>
  <c r="E42" i="33" s="1"/>
  <c r="D40" i="33"/>
  <c r="C40" i="33"/>
  <c r="C42" i="33" s="1"/>
  <c r="K39" i="33"/>
  <c r="K38" i="33"/>
  <c r="J38" i="33"/>
  <c r="I38" i="33"/>
  <c r="H38" i="33"/>
  <c r="G38" i="33"/>
  <c r="F38" i="33"/>
  <c r="E38" i="33"/>
  <c r="D38" i="33"/>
  <c r="C38" i="33"/>
  <c r="K37" i="33"/>
  <c r="J37" i="33"/>
  <c r="I37" i="33"/>
  <c r="H37" i="33"/>
  <c r="G37" i="33"/>
  <c r="F37" i="33"/>
  <c r="E37" i="33"/>
  <c r="E39" i="33" s="1"/>
  <c r="D37" i="33"/>
  <c r="C37" i="33"/>
  <c r="I36" i="33"/>
  <c r="D36" i="33"/>
  <c r="K35" i="33"/>
  <c r="J35" i="33"/>
  <c r="I35" i="33"/>
  <c r="H35" i="33"/>
  <c r="G35" i="33"/>
  <c r="F35" i="33"/>
  <c r="E35" i="33"/>
  <c r="D35" i="33"/>
  <c r="C35" i="33"/>
  <c r="K34" i="33"/>
  <c r="J34" i="33"/>
  <c r="I34" i="33"/>
  <c r="H34" i="33"/>
  <c r="G34" i="33"/>
  <c r="F34" i="33"/>
  <c r="E34" i="33"/>
  <c r="E36" i="33" s="1"/>
  <c r="D34" i="33"/>
  <c r="C34" i="33"/>
  <c r="C36" i="33" s="1"/>
  <c r="K32" i="33"/>
  <c r="J32" i="33"/>
  <c r="I32" i="33"/>
  <c r="H32" i="33"/>
  <c r="G32" i="33"/>
  <c r="F32" i="33"/>
  <c r="E32" i="33"/>
  <c r="E45" i="33" s="1"/>
  <c r="D32" i="33"/>
  <c r="C32" i="33"/>
  <c r="K31" i="33"/>
  <c r="J31" i="33"/>
  <c r="I31" i="33"/>
  <c r="H31" i="33"/>
  <c r="G31" i="33"/>
  <c r="F31" i="33"/>
  <c r="E31" i="33"/>
  <c r="D31" i="33"/>
  <c r="C31" i="33"/>
  <c r="C33" i="33" s="1"/>
  <c r="K30" i="33"/>
  <c r="J30" i="33"/>
  <c r="I30" i="33"/>
  <c r="H30" i="33"/>
  <c r="G30" i="33"/>
  <c r="F30" i="33"/>
  <c r="E30" i="33"/>
  <c r="E33" i="33" s="1"/>
  <c r="D30" i="33"/>
  <c r="C30" i="33"/>
  <c r="C44" i="33" s="1"/>
  <c r="E29" i="33"/>
  <c r="I23" i="33"/>
  <c r="J45" i="33" s="1"/>
  <c r="H23" i="33"/>
  <c r="I45" i="33" s="1"/>
  <c r="G23" i="33"/>
  <c r="H45" i="33" s="1"/>
  <c r="F23" i="33"/>
  <c r="E23" i="33"/>
  <c r="F45" i="33" s="1"/>
  <c r="D23" i="33"/>
  <c r="D45" i="33" s="1"/>
  <c r="C23" i="33"/>
  <c r="I22" i="33"/>
  <c r="K44" i="33" s="1"/>
  <c r="H22" i="33"/>
  <c r="I44" i="33" s="1"/>
  <c r="G22" i="33"/>
  <c r="H44" i="33" s="1"/>
  <c r="F22" i="33"/>
  <c r="G44" i="33" s="1"/>
  <c r="E22" i="33"/>
  <c r="F44" i="33" s="1"/>
  <c r="D22" i="33"/>
  <c r="D44" i="33" s="1"/>
  <c r="C22" i="33"/>
  <c r="G21" i="33"/>
  <c r="H43" i="33" s="1"/>
  <c r="C21" i="33"/>
  <c r="I20" i="33"/>
  <c r="K42" i="33" s="1"/>
  <c r="H20" i="33"/>
  <c r="H21" i="33" s="1"/>
  <c r="I43" i="33" s="1"/>
  <c r="G20" i="33"/>
  <c r="H42" i="33" s="1"/>
  <c r="F20" i="33"/>
  <c r="F21" i="33" s="1"/>
  <c r="E20" i="33"/>
  <c r="E21" i="33" s="1"/>
  <c r="D20" i="33"/>
  <c r="D42" i="33" s="1"/>
  <c r="C20" i="33"/>
  <c r="B18" i="33"/>
  <c r="I17" i="33"/>
  <c r="J39" i="33" s="1"/>
  <c r="H17" i="33"/>
  <c r="I39" i="33" s="1"/>
  <c r="G17" i="33"/>
  <c r="H39" i="33" s="1"/>
  <c r="F17" i="33"/>
  <c r="G39" i="33" s="1"/>
  <c r="E17" i="33"/>
  <c r="F39" i="33" s="1"/>
  <c r="D17" i="33"/>
  <c r="D39" i="33" s="1"/>
  <c r="C17" i="33"/>
  <c r="B15" i="33"/>
  <c r="I14" i="33"/>
  <c r="K36" i="33" s="1"/>
  <c r="H14" i="33"/>
  <c r="G14" i="33"/>
  <c r="F14" i="33"/>
  <c r="H36" i="33" s="1"/>
  <c r="E14" i="33"/>
  <c r="F36" i="33" s="1"/>
  <c r="D14" i="33"/>
  <c r="C14" i="33"/>
  <c r="I11" i="33"/>
  <c r="J33" i="33" s="1"/>
  <c r="H11" i="33"/>
  <c r="I33" i="33" s="1"/>
  <c r="G11" i="33"/>
  <c r="H33" i="33" s="1"/>
  <c r="F11" i="33"/>
  <c r="E11" i="33"/>
  <c r="F33" i="33" s="1"/>
  <c r="D11" i="33"/>
  <c r="D33" i="33" s="1"/>
  <c r="C11" i="33"/>
  <c r="H7" i="33"/>
  <c r="I7" i="33" s="1"/>
  <c r="G7" i="33"/>
  <c r="F7" i="33"/>
  <c r="G43" i="33" l="1"/>
  <c r="E43" i="33"/>
  <c r="G33" i="33"/>
  <c r="C39" i="33"/>
  <c r="C45" i="33"/>
  <c r="C135" i="33"/>
  <c r="K135" i="33"/>
  <c r="E136" i="33"/>
  <c r="D21" i="33"/>
  <c r="D43" i="33" s="1"/>
  <c r="J36" i="33"/>
  <c r="F42" i="33"/>
  <c r="J42" i="33"/>
  <c r="J44" i="33"/>
  <c r="E78" i="33"/>
  <c r="D112" i="33"/>
  <c r="D134" i="33" s="1"/>
  <c r="H112" i="33"/>
  <c r="I134" i="33" s="1"/>
  <c r="C130" i="33"/>
  <c r="K130" i="33"/>
  <c r="J136" i="33"/>
  <c r="K33" i="33"/>
  <c r="E44" i="33"/>
  <c r="G45" i="33"/>
  <c r="K45" i="33"/>
  <c r="G133" i="33"/>
  <c r="I21" i="33"/>
  <c r="G36" i="33"/>
  <c r="G42" i="33"/>
  <c r="E112" i="33"/>
  <c r="I112" i="33"/>
  <c r="J127" i="33"/>
  <c r="E135" i="33"/>
  <c r="C136" i="33"/>
  <c r="F134" i="33" l="1"/>
  <c r="E88" i="33"/>
  <c r="G134" i="33"/>
  <c r="L39" i="33"/>
  <c r="K134" i="33"/>
  <c r="J134" i="33"/>
  <c r="J43" i="33"/>
  <c r="K43" i="33"/>
  <c r="F43" i="33"/>
  <c r="C43" i="33"/>
  <c r="C134" i="33"/>
  <c r="L134" i="33" l="1"/>
  <c r="L129" i="33"/>
  <c r="L125" i="33"/>
  <c r="L123" i="33"/>
  <c r="L121" i="33"/>
  <c r="L124" i="33"/>
  <c r="L131" i="33"/>
  <c r="L128" i="33"/>
  <c r="L122" i="33"/>
  <c r="L132" i="33"/>
  <c r="L127" i="33"/>
  <c r="L126" i="33"/>
  <c r="L133" i="33"/>
  <c r="L136" i="33"/>
  <c r="L40" i="33"/>
  <c r="L38" i="33"/>
  <c r="L34" i="33"/>
  <c r="L32" i="33"/>
  <c r="L30" i="33"/>
  <c r="L43" i="33"/>
  <c r="L44" i="33"/>
  <c r="L36" i="33"/>
  <c r="L35" i="33"/>
  <c r="L33" i="33"/>
  <c r="L37" i="33"/>
  <c r="L42" i="33"/>
  <c r="L41" i="33"/>
  <c r="L31" i="33"/>
  <c r="L135" i="33"/>
  <c r="L45" i="33"/>
  <c r="L130" i="33"/>
  <c r="D16" i="30" l="1"/>
  <c r="C16" i="30"/>
  <c r="B16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I42" i="30"/>
  <c r="H42" i="30"/>
  <c r="G42" i="30"/>
  <c r="F42" i="30"/>
  <c r="E42" i="30"/>
  <c r="D42" i="30"/>
  <c r="C42" i="30"/>
  <c r="B42" i="30"/>
  <c r="D41" i="30"/>
  <c r="C41" i="30"/>
  <c r="B41" i="30"/>
  <c r="I40" i="30"/>
  <c r="H40" i="30"/>
  <c r="G40" i="30"/>
  <c r="F40" i="30"/>
  <c r="E40" i="30"/>
  <c r="D40" i="30"/>
  <c r="C40" i="30"/>
  <c r="B40" i="30"/>
  <c r="D39" i="30"/>
  <c r="C39" i="30"/>
  <c r="B39" i="30"/>
  <c r="D38" i="30"/>
  <c r="C38" i="30"/>
  <c r="B38" i="30"/>
  <c r="I35" i="30"/>
  <c r="H35" i="30"/>
  <c r="G35" i="30"/>
  <c r="F35" i="30"/>
  <c r="E35" i="30"/>
  <c r="D35" i="30"/>
  <c r="C35" i="30"/>
  <c r="B35" i="30"/>
  <c r="I34" i="30"/>
  <c r="H34" i="30"/>
  <c r="G34" i="30"/>
  <c r="F34" i="30"/>
  <c r="E34" i="30"/>
  <c r="D34" i="30"/>
  <c r="C34" i="30"/>
  <c r="B34" i="30"/>
  <c r="I33" i="30"/>
  <c r="H33" i="30"/>
  <c r="G33" i="30"/>
  <c r="F33" i="30"/>
  <c r="E33" i="30"/>
  <c r="D33" i="30"/>
  <c r="C33" i="30"/>
  <c r="B33" i="30"/>
  <c r="I32" i="30"/>
  <c r="H32" i="30"/>
  <c r="G32" i="30"/>
  <c r="F32" i="30"/>
  <c r="E32" i="30"/>
  <c r="D32" i="30"/>
  <c r="C32" i="30"/>
  <c r="B32" i="30"/>
  <c r="D29" i="30"/>
  <c r="C29" i="30"/>
  <c r="B29" i="30"/>
  <c r="I28" i="30"/>
  <c r="H28" i="30"/>
  <c r="G28" i="30"/>
  <c r="F28" i="30"/>
  <c r="E28" i="30"/>
  <c r="D28" i="30"/>
  <c r="C28" i="30"/>
  <c r="B28" i="30"/>
  <c r="I27" i="30"/>
  <c r="H27" i="30"/>
  <c r="G27" i="30"/>
  <c r="F27" i="30"/>
  <c r="E27" i="30"/>
  <c r="D27" i="30"/>
  <c r="C27" i="30"/>
  <c r="B27" i="30"/>
  <c r="D26" i="30"/>
  <c r="C26" i="30"/>
  <c r="B26" i="30"/>
  <c r="D21" i="30"/>
  <c r="C21" i="30"/>
  <c r="B21" i="30"/>
  <c r="I20" i="30"/>
  <c r="H20" i="30"/>
  <c r="G20" i="30"/>
  <c r="F20" i="30"/>
  <c r="E20" i="30"/>
  <c r="D20" i="30"/>
  <c r="C20" i="30"/>
  <c r="B20" i="30"/>
  <c r="D19" i="30"/>
  <c r="C19" i="30"/>
  <c r="B19" i="30"/>
  <c r="D18" i="30"/>
  <c r="C18" i="30"/>
  <c r="B18" i="30"/>
  <c r="D15" i="30"/>
  <c r="C15" i="30"/>
  <c r="B15" i="30"/>
  <c r="D14" i="30"/>
  <c r="C14" i="30"/>
  <c r="B14" i="30"/>
  <c r="I13" i="30"/>
  <c r="H13" i="30"/>
  <c r="G13" i="30"/>
  <c r="F13" i="30"/>
  <c r="E13" i="30"/>
  <c r="D13" i="30"/>
  <c r="C13" i="30"/>
  <c r="B13" i="30"/>
  <c r="D12" i="30"/>
  <c r="C12" i="30"/>
  <c r="B12" i="30"/>
  <c r="D10" i="30"/>
  <c r="C10" i="30"/>
  <c r="B10" i="30"/>
  <c r="D9" i="30"/>
  <c r="C9" i="30"/>
  <c r="B9" i="30"/>
  <c r="C8" i="30"/>
  <c r="B8" i="30"/>
  <c r="D7" i="30"/>
  <c r="C7" i="30"/>
  <c r="B7" i="30"/>
  <c r="D6" i="30"/>
  <c r="C6" i="30"/>
  <c r="B6" i="30"/>
  <c r="H55" i="28"/>
  <c r="G55" i="28"/>
  <c r="F55" i="28"/>
  <c r="E55" i="28"/>
  <c r="D55" i="28"/>
  <c r="C55" i="28"/>
  <c r="H54" i="28"/>
  <c r="G54" i="28"/>
  <c r="F54" i="28"/>
  <c r="E54" i="28"/>
  <c r="D54" i="28"/>
  <c r="C54" i="28"/>
  <c r="H53" i="28"/>
  <c r="G53" i="28"/>
  <c r="F53" i="28"/>
  <c r="E53" i="28"/>
  <c r="D53" i="28"/>
  <c r="C53" i="28"/>
  <c r="H52" i="28"/>
  <c r="G52" i="28"/>
  <c r="F52" i="28"/>
  <c r="E52" i="28"/>
  <c r="D52" i="28"/>
  <c r="C52" i="28"/>
  <c r="D11" i="30" l="1"/>
  <c r="B11" i="30"/>
  <c r="C11" i="30"/>
  <c r="J16" i="30"/>
  <c r="H49" i="28"/>
  <c r="G49" i="28"/>
  <c r="F49" i="28"/>
  <c r="E49" i="28"/>
  <c r="D49" i="28"/>
  <c r="C49" i="28"/>
  <c r="B49" i="28"/>
  <c r="C48" i="28"/>
  <c r="B48" i="28"/>
  <c r="H47" i="28"/>
  <c r="G47" i="28"/>
  <c r="F47" i="28"/>
  <c r="E47" i="28"/>
  <c r="D47" i="28"/>
  <c r="C47" i="28"/>
  <c r="B47" i="28"/>
  <c r="D46" i="28"/>
  <c r="B46" i="28"/>
  <c r="B45" i="28"/>
  <c r="C38" i="28"/>
  <c r="B38" i="28"/>
  <c r="C35" i="28"/>
  <c r="B35" i="28"/>
  <c r="H34" i="28"/>
  <c r="G34" i="28"/>
  <c r="F34" i="28"/>
  <c r="E34" i="28"/>
  <c r="D34" i="28"/>
  <c r="C34" i="28"/>
  <c r="B34" i="28"/>
  <c r="C33" i="28"/>
  <c r="B33" i="28"/>
  <c r="C32" i="28"/>
  <c r="B32" i="28"/>
  <c r="C28" i="28"/>
  <c r="B28" i="28"/>
  <c r="H22" i="28"/>
  <c r="G22" i="28"/>
  <c r="F22" i="28"/>
  <c r="E22" i="28"/>
  <c r="D22" i="28"/>
  <c r="C22" i="28"/>
  <c r="B22" i="28"/>
  <c r="H21" i="28"/>
  <c r="G21" i="28"/>
  <c r="F21" i="28"/>
  <c r="E21" i="28"/>
  <c r="D21" i="28"/>
  <c r="C21" i="28"/>
  <c r="B21" i="28"/>
  <c r="H20" i="28"/>
  <c r="G20" i="28"/>
  <c r="F20" i="28"/>
  <c r="E20" i="28"/>
  <c r="D20" i="28"/>
  <c r="C20" i="28"/>
  <c r="B20" i="28"/>
  <c r="C19" i="28"/>
  <c r="B19" i="28"/>
  <c r="J11" i="30" l="1"/>
  <c r="B36" i="28"/>
  <c r="B9" i="29" s="1"/>
  <c r="H18" i="28"/>
  <c r="G18" i="28"/>
  <c r="F18" i="28"/>
  <c r="E18" i="28"/>
  <c r="D18" i="28"/>
  <c r="C18" i="28"/>
  <c r="B18" i="28"/>
  <c r="B23" i="28" s="1"/>
  <c r="N15" i="15"/>
  <c r="C51" i="26" s="1"/>
  <c r="N14" i="15"/>
  <c r="C50" i="26" s="1"/>
  <c r="E21" i="15"/>
  <c r="D53" i="15"/>
  <c r="C53" i="15"/>
  <c r="D46" i="15"/>
  <c r="C46" i="15"/>
  <c r="N18" i="15" l="1"/>
  <c r="C12" i="29" s="1"/>
  <c r="L17" i="15"/>
  <c r="B26" i="29" l="1"/>
  <c r="D19" i="15"/>
  <c r="C19" i="15"/>
  <c r="D9" i="15"/>
  <c r="C9" i="15"/>
  <c r="G52" i="15" l="1"/>
  <c r="F52" i="15"/>
  <c r="E52" i="15"/>
  <c r="D52" i="15"/>
  <c r="C52" i="15"/>
  <c r="D45" i="15"/>
  <c r="C45" i="15"/>
  <c r="D14" i="15"/>
  <c r="C14" i="15"/>
  <c r="D8" i="15" l="1"/>
  <c r="C8" i="15"/>
  <c r="C18" i="15" s="1"/>
  <c r="I51" i="15"/>
  <c r="H51" i="15"/>
  <c r="G51" i="15"/>
  <c r="F51" i="15"/>
  <c r="E51" i="15"/>
  <c r="D51" i="15"/>
  <c r="C51" i="15"/>
  <c r="C44" i="15"/>
  <c r="D13" i="15"/>
  <c r="C13" i="15"/>
  <c r="C7" i="15"/>
  <c r="D50" i="15"/>
  <c r="C50" i="15"/>
  <c r="D43" i="15"/>
  <c r="C43" i="15"/>
  <c r="C12" i="15"/>
  <c r="D6" i="15"/>
  <c r="C6" i="15"/>
  <c r="D49" i="15"/>
  <c r="C49" i="15"/>
  <c r="D42" i="15"/>
  <c r="C42" i="15"/>
  <c r="C11" i="15" l="1"/>
  <c r="D5" i="15"/>
  <c r="C5" i="15"/>
  <c r="B3" i="27" l="1"/>
  <c r="I3" i="27" l="1"/>
  <c r="H3" i="27"/>
  <c r="G3" i="27"/>
  <c r="F3" i="27"/>
  <c r="E3" i="27"/>
  <c r="D3" i="27"/>
  <c r="C3" i="27"/>
  <c r="I4" i="27" l="1"/>
  <c r="H4" i="27"/>
  <c r="G4" i="27"/>
  <c r="F4" i="27"/>
  <c r="E4" i="27"/>
  <c r="D4" i="27"/>
  <c r="C4" i="27"/>
  <c r="B4" i="27"/>
  <c r="B5" i="27"/>
  <c r="C5" i="27"/>
  <c r="D5" i="27"/>
  <c r="E5" i="27"/>
  <c r="F5" i="27"/>
  <c r="G5" i="27"/>
  <c r="H5" i="27"/>
  <c r="I5" i="27"/>
  <c r="I6" i="27"/>
  <c r="H6" i="27"/>
  <c r="G6" i="27"/>
  <c r="F6" i="27"/>
  <c r="E6" i="27"/>
  <c r="D6" i="27"/>
  <c r="C6" i="27"/>
  <c r="B6" i="27"/>
  <c r="I14" i="27" l="1"/>
  <c r="I2" i="27"/>
  <c r="H2" i="27"/>
  <c r="G2" i="27"/>
  <c r="F2" i="27"/>
  <c r="E2" i="27"/>
  <c r="D2" i="27"/>
  <c r="C2" i="27"/>
  <c r="B2" i="27"/>
  <c r="L25" i="15" l="1"/>
  <c r="L24" i="15"/>
  <c r="L23" i="15"/>
  <c r="L22" i="15"/>
  <c r="L21" i="15"/>
  <c r="B47" i="1" l="1"/>
  <c r="B53" i="1"/>
  <c r="E14" i="2"/>
  <c r="D14" i="2"/>
  <c r="E7" i="2"/>
  <c r="D7" i="2"/>
  <c r="B69" i="15"/>
  <c r="B63" i="15"/>
  <c r="G13" i="1"/>
  <c r="F13" i="1"/>
  <c r="B14" i="28"/>
  <c r="C7" i="1"/>
  <c r="C69" i="15" l="1"/>
  <c r="C34" i="15"/>
  <c r="C30" i="1" s="1"/>
  <c r="G34" i="15"/>
  <c r="G30" i="1" s="1"/>
  <c r="C28" i="15"/>
  <c r="C24" i="1" s="1"/>
  <c r="E34" i="15"/>
  <c r="E30" i="1" s="1"/>
  <c r="G14" i="28"/>
  <c r="C14" i="28"/>
  <c r="D13" i="1"/>
  <c r="F34" i="15"/>
  <c r="F30" i="1" s="1"/>
  <c r="M9" i="15"/>
  <c r="B6" i="28"/>
  <c r="D14" i="28"/>
  <c r="E13" i="1"/>
  <c r="D34" i="15"/>
  <c r="D30" i="1" s="1"/>
  <c r="L9" i="15"/>
  <c r="C6" i="28"/>
  <c r="F14" i="28"/>
  <c r="D7" i="1"/>
  <c r="C13" i="1"/>
  <c r="H13" i="1"/>
  <c r="E14" i="28"/>
  <c r="D25" i="2"/>
  <c r="D31" i="2"/>
  <c r="C63" i="15"/>
  <c r="B23" i="26" l="1"/>
  <c r="C23" i="26"/>
  <c r="J10" i="30" l="1"/>
  <c r="B71" i="30"/>
  <c r="B33" i="26"/>
  <c r="D37" i="30" l="1"/>
  <c r="C37" i="30"/>
  <c r="C4" i="30"/>
  <c r="B53" i="28"/>
  <c r="C43" i="28"/>
  <c r="B43" i="28"/>
  <c r="C30" i="28"/>
  <c r="B30" i="28"/>
  <c r="L15" i="15"/>
  <c r="L16" i="15"/>
  <c r="L14" i="15"/>
  <c r="C47" i="15"/>
  <c r="D68" i="15" l="1"/>
  <c r="N25" i="15"/>
  <c r="R25" i="15"/>
  <c r="C54" i="15"/>
  <c r="O25" i="15"/>
  <c r="B50" i="28"/>
  <c r="F57" i="28"/>
  <c r="E68" i="15"/>
  <c r="C57" i="28"/>
  <c r="G57" i="28"/>
  <c r="C16" i="15"/>
  <c r="D54" i="15"/>
  <c r="F68" i="15"/>
  <c r="D57" i="28"/>
  <c r="H57" i="28"/>
  <c r="C10" i="15"/>
  <c r="E57" i="28"/>
  <c r="C23" i="28"/>
  <c r="L18" i="15"/>
  <c r="I13" i="27" l="1"/>
  <c r="I12" i="27" l="1"/>
  <c r="I15" i="27" l="1"/>
  <c r="I11" i="27" l="1"/>
  <c r="H13" i="27" l="1"/>
  <c r="H11" i="27"/>
  <c r="H12" i="27"/>
  <c r="H14" i="27"/>
  <c r="H15" i="27"/>
  <c r="A29" i="29" l="1"/>
  <c r="L8" i="15" l="1"/>
  <c r="F21" i="15" l="1"/>
  <c r="C2" i="30" l="1"/>
  <c r="D2" i="30" s="1"/>
  <c r="E2" i="30" s="1"/>
  <c r="F2" i="30" s="1"/>
  <c r="G2" i="30" s="1"/>
  <c r="H2" i="30" s="1"/>
  <c r="D18" i="15" l="1"/>
  <c r="H31" i="30" l="1"/>
  <c r="J15" i="30" l="1"/>
  <c r="I2" i="30" l="1"/>
  <c r="B7" i="32"/>
  <c r="D11" i="1" l="1"/>
  <c r="D6" i="1"/>
  <c r="C1" i="27" l="1"/>
  <c r="D1" i="27" s="1"/>
  <c r="E1" i="27" s="1"/>
  <c r="F1" i="27" s="1"/>
  <c r="G1" i="27" s="1"/>
  <c r="B11" i="27" l="1"/>
  <c r="C15" i="27"/>
  <c r="B68" i="30"/>
  <c r="C59" i="15"/>
  <c r="E20" i="2" l="1"/>
  <c r="F20" i="2"/>
  <c r="G20" i="2"/>
  <c r="H20" i="2"/>
  <c r="I20" i="2"/>
  <c r="D19" i="1"/>
  <c r="E19" i="1"/>
  <c r="F19" i="1"/>
  <c r="G19" i="1"/>
  <c r="H19" i="1"/>
  <c r="C14" i="32"/>
  <c r="D14" i="32"/>
  <c r="E14" i="32"/>
  <c r="F14" i="32"/>
  <c r="G14" i="32"/>
  <c r="C15" i="29"/>
  <c r="D15" i="29"/>
  <c r="E15" i="29"/>
  <c r="F15" i="29"/>
  <c r="G15" i="29"/>
  <c r="H67" i="15" l="1"/>
  <c r="G67" i="15"/>
  <c r="F67" i="15"/>
  <c r="D67" i="15"/>
  <c r="C13" i="28"/>
  <c r="C5" i="28"/>
  <c r="C3" i="28"/>
  <c r="C12" i="28" l="1"/>
  <c r="E67" i="15"/>
  <c r="C36" i="28"/>
  <c r="C24" i="28"/>
  <c r="M8" i="15"/>
  <c r="B10" i="28"/>
  <c r="C9" i="1"/>
  <c r="C65" i="15"/>
  <c r="L4" i="15" l="1"/>
  <c r="H58" i="15"/>
  <c r="G58" i="15"/>
  <c r="F58" i="15"/>
  <c r="E58" i="15"/>
  <c r="D58" i="15"/>
  <c r="C58" i="15"/>
  <c r="C10" i="1"/>
  <c r="M4" i="15" l="1"/>
  <c r="L13" i="15"/>
  <c r="N13" i="15" s="1"/>
  <c r="B4" i="28"/>
  <c r="C24" i="15"/>
  <c r="L5" i="15"/>
  <c r="B11" i="28"/>
  <c r="L6" i="15"/>
  <c r="B13" i="28"/>
  <c r="C33" i="15"/>
  <c r="B3" i="28"/>
  <c r="C25" i="15"/>
  <c r="G11" i="27"/>
  <c r="G12" i="27"/>
  <c r="G13" i="27"/>
  <c r="G14" i="27"/>
  <c r="G15" i="27"/>
  <c r="F11" i="27"/>
  <c r="H1" i="27"/>
  <c r="I1" i="27" s="1"/>
  <c r="O13" i="15" l="1"/>
  <c r="P13" i="15" s="1"/>
  <c r="Q13" i="15" s="1"/>
  <c r="R13" i="15" s="1"/>
  <c r="S13" i="15" s="1"/>
  <c r="M21" i="15"/>
  <c r="N21" i="15" s="1"/>
  <c r="O21" i="15" s="1"/>
  <c r="P21" i="15" s="1"/>
  <c r="Q21" i="15" s="1"/>
  <c r="R21" i="15" s="1"/>
  <c r="M15" i="30"/>
  <c r="L40" i="30"/>
  <c r="M34" i="30"/>
  <c r="O20" i="30" l="1"/>
  <c r="O15" i="30"/>
  <c r="O41" i="30"/>
  <c r="N28" i="30"/>
  <c r="N21" i="30"/>
  <c r="N40" i="30"/>
  <c r="M20" i="30"/>
  <c r="L28" i="30"/>
  <c r="O34" i="30"/>
  <c r="M13" i="30"/>
  <c r="O33" i="30"/>
  <c r="N20" i="30"/>
  <c r="M28" i="30"/>
  <c r="L34" i="30"/>
  <c r="O40" i="30"/>
  <c r="N15" i="30"/>
  <c r="M21" i="30"/>
  <c r="O35" i="30"/>
  <c r="N41" i="30"/>
  <c r="L33" i="30"/>
  <c r="N33" i="30"/>
  <c r="L13" i="30"/>
  <c r="N35" i="30"/>
  <c r="M41" i="30"/>
  <c r="L35" i="30"/>
  <c r="N13" i="30"/>
  <c r="O13" i="30"/>
  <c r="M33" i="30"/>
  <c r="L20" i="30"/>
  <c r="O28" i="30"/>
  <c r="N34" i="30"/>
  <c r="M40" i="30"/>
  <c r="O21" i="30"/>
  <c r="M35" i="30"/>
  <c r="L32" i="30" l="1"/>
  <c r="N32" i="30"/>
  <c r="M32" i="30"/>
  <c r="O32" i="30"/>
  <c r="C55" i="30"/>
  <c r="C66" i="30" s="1"/>
  <c r="D55" i="30"/>
  <c r="D66" i="30" s="1"/>
  <c r="E55" i="30"/>
  <c r="E66" i="30" s="1"/>
  <c r="F55" i="30"/>
  <c r="F66" i="30" s="1"/>
  <c r="G55" i="30"/>
  <c r="G66" i="30" s="1"/>
  <c r="B55" i="30"/>
  <c r="B66" i="30" s="1"/>
  <c r="K2" i="30"/>
  <c r="L2" i="30"/>
  <c r="M2" i="30"/>
  <c r="N2" i="30"/>
  <c r="O2" i="30"/>
  <c r="J2" i="30"/>
  <c r="J27" i="30" l="1"/>
  <c r="K33" i="30"/>
  <c r="J33" i="30"/>
  <c r="J20" i="30"/>
  <c r="K20" i="30"/>
  <c r="J46" i="30"/>
  <c r="J35" i="30"/>
  <c r="K35" i="30"/>
  <c r="J14" i="30"/>
  <c r="K40" i="30"/>
  <c r="J40" i="30"/>
  <c r="J29" i="30"/>
  <c r="J19" i="30"/>
  <c r="J45" i="30"/>
  <c r="J34" i="30"/>
  <c r="K34" i="30"/>
  <c r="J21" i="30"/>
  <c r="J47" i="30"/>
  <c r="J39" i="30"/>
  <c r="K28" i="30"/>
  <c r="J28" i="30"/>
  <c r="J41" i="30"/>
  <c r="E31" i="30"/>
  <c r="C82" i="30" l="1"/>
  <c r="J12" i="30"/>
  <c r="B67" i="30"/>
  <c r="J6" i="30"/>
  <c r="B70" i="30"/>
  <c r="J9" i="30"/>
  <c r="J26" i="30"/>
  <c r="D25" i="30"/>
  <c r="J44" i="30"/>
  <c r="D43" i="30"/>
  <c r="J18" i="30"/>
  <c r="D17" i="30"/>
  <c r="J38" i="30"/>
  <c r="J7" i="30"/>
  <c r="J13" i="30"/>
  <c r="K13" i="30"/>
  <c r="K32" i="30"/>
  <c r="J32" i="30"/>
  <c r="D31" i="30"/>
  <c r="B4" i="30"/>
  <c r="B80" i="30" l="1"/>
  <c r="B79" i="30"/>
  <c r="B82" i="30"/>
  <c r="B83" i="30"/>
  <c r="D23" i="30"/>
  <c r="K31" i="30"/>
  <c r="C6" i="1"/>
  <c r="C11" i="1"/>
  <c r="B78" i="30" l="1"/>
  <c r="D82" i="30"/>
  <c r="C32" i="15"/>
  <c r="B12" i="28"/>
  <c r="B15" i="28" s="1"/>
  <c r="L7" i="15"/>
  <c r="C27" i="15"/>
  <c r="B5" i="28"/>
  <c r="C67" i="15"/>
  <c r="C68" i="15"/>
  <c r="C66" i="15"/>
  <c r="C17" i="15" l="1"/>
  <c r="L10" i="15"/>
  <c r="C60" i="15" l="1"/>
  <c r="C62" i="15"/>
  <c r="D4" i="15"/>
  <c r="C7" i="32" l="1"/>
  <c r="B20" i="32" s="1"/>
  <c r="D7" i="32"/>
  <c r="E7" i="32"/>
  <c r="F7" i="32"/>
  <c r="G7" i="32"/>
  <c r="A24" i="32"/>
  <c r="A23" i="32"/>
  <c r="A34" i="32" s="1"/>
  <c r="A22" i="32"/>
  <c r="A33" i="32" s="1"/>
  <c r="B14" i="32"/>
  <c r="G1" i="32"/>
  <c r="F27" i="32" s="1"/>
  <c r="F1" i="32"/>
  <c r="E27" i="32" s="1"/>
  <c r="E1" i="32"/>
  <c r="D27" i="32" s="1"/>
  <c r="D1" i="32"/>
  <c r="C27" i="32" s="1"/>
  <c r="C1" i="32"/>
  <c r="B27" i="32" s="1"/>
  <c r="B1" i="32"/>
  <c r="D20" i="32" l="1"/>
  <c r="C20" i="32"/>
  <c r="E20" i="32"/>
  <c r="F20" i="32"/>
  <c r="A23" i="29" l="1"/>
  <c r="A36" i="29" s="1"/>
  <c r="A24" i="29" l="1"/>
  <c r="A37" i="29" s="1"/>
  <c r="C10" i="32"/>
  <c r="B10" i="32"/>
  <c r="C9" i="32"/>
  <c r="B9" i="32"/>
  <c r="C6" i="32"/>
  <c r="B6" i="32"/>
  <c r="G8" i="32"/>
  <c r="F8" i="32"/>
  <c r="E8" i="32"/>
  <c r="D8" i="32"/>
  <c r="C8" i="32"/>
  <c r="B8" i="32"/>
  <c r="E21" i="32" l="1"/>
  <c r="D21" i="32"/>
  <c r="C21" i="32"/>
  <c r="B22" i="32"/>
  <c r="B23" i="32"/>
  <c r="B19" i="32"/>
  <c r="B21" i="32"/>
  <c r="F21" i="32"/>
  <c r="D24" i="28"/>
  <c r="B10" i="29"/>
  <c r="E24" i="28" l="1"/>
  <c r="F5" i="32"/>
  <c r="E5" i="32"/>
  <c r="D5" i="32"/>
  <c r="C5" i="32"/>
  <c r="B5" i="32"/>
  <c r="C3" i="32"/>
  <c r="B3" i="32"/>
  <c r="B18" i="32" l="1"/>
  <c r="D18" i="32"/>
  <c r="C18" i="32"/>
  <c r="B16" i="32"/>
  <c r="E18" i="32"/>
  <c r="A13" i="27" l="1"/>
  <c r="A14" i="27"/>
  <c r="A15" i="27"/>
  <c r="A12" i="27"/>
  <c r="B8" i="29" l="1"/>
  <c r="N4" i="15"/>
  <c r="O4" i="15" s="1"/>
  <c r="P4" i="15" s="1"/>
  <c r="Q4" i="15" s="1"/>
  <c r="R4" i="15" s="1"/>
  <c r="C43" i="30" l="1"/>
  <c r="B43" i="30"/>
  <c r="J37" i="30"/>
  <c r="B37" i="30"/>
  <c r="F31" i="30"/>
  <c r="C31" i="30"/>
  <c r="B31" i="30"/>
  <c r="C25" i="30"/>
  <c r="B25" i="30"/>
  <c r="C17" i="30"/>
  <c r="B17" i="30"/>
  <c r="J31" i="30" l="1"/>
  <c r="J17" i="30"/>
  <c r="C23" i="30"/>
  <c r="L31" i="30"/>
  <c r="J43" i="30"/>
  <c r="J25" i="30"/>
  <c r="B23" i="30"/>
  <c r="A25" i="29"/>
  <c r="C49" i="30" l="1"/>
  <c r="J23" i="30"/>
  <c r="B57" i="30" l="1"/>
  <c r="B60" i="30"/>
  <c r="B58" i="30"/>
  <c r="B61" i="30"/>
  <c r="B59" i="30"/>
  <c r="B49" i="30"/>
  <c r="B15" i="29"/>
  <c r="B1" i="29"/>
  <c r="B4" i="32"/>
  <c r="C4" i="32"/>
  <c r="B2" i="32"/>
  <c r="C2" i="32"/>
  <c r="C2" i="28"/>
  <c r="B2" i="28"/>
  <c r="B7" i="28" s="1"/>
  <c r="B29" i="32" l="1"/>
  <c r="B15" i="32"/>
  <c r="C11" i="32"/>
  <c r="B17" i="32"/>
  <c r="B28" i="32" s="1"/>
  <c r="C31" i="32"/>
  <c r="C32" i="32"/>
  <c r="C29" i="32"/>
  <c r="B11" i="32"/>
  <c r="B12" i="32" s="1"/>
  <c r="B31" i="32"/>
  <c r="B32" i="32"/>
  <c r="B34" i="32"/>
  <c r="B30" i="32"/>
  <c r="B33" i="32"/>
  <c r="B2" i="29" l="1"/>
  <c r="C12" i="32"/>
  <c r="B24" i="32"/>
  <c r="C1" i="29"/>
  <c r="B28" i="29" s="1"/>
  <c r="B16" i="28"/>
  <c r="B8" i="28"/>
  <c r="K27" i="30"/>
  <c r="L27" i="30"/>
  <c r="M27" i="30"/>
  <c r="N27" i="30"/>
  <c r="O27" i="30"/>
  <c r="G31" i="30"/>
  <c r="I31" i="30"/>
  <c r="P31" i="30" s="1"/>
  <c r="D4" i="1"/>
  <c r="D3" i="1"/>
  <c r="G9" i="26"/>
  <c r="G28" i="26" s="1"/>
  <c r="E9" i="26"/>
  <c r="E28" i="26" s="1"/>
  <c r="D9" i="26"/>
  <c r="D28" i="26" s="1"/>
  <c r="C9" i="26"/>
  <c r="C28" i="26" s="1"/>
  <c r="B4" i="29"/>
  <c r="B38" i="29" s="1"/>
  <c r="C8" i="29"/>
  <c r="B6" i="29"/>
  <c r="C6" i="29"/>
  <c r="C9" i="29"/>
  <c r="B7" i="29"/>
  <c r="C7" i="29"/>
  <c r="B13" i="27"/>
  <c r="C13" i="27"/>
  <c r="D13" i="27"/>
  <c r="E13" i="27"/>
  <c r="F13" i="27"/>
  <c r="B14" i="27"/>
  <c r="C14" i="27"/>
  <c r="D14" i="27"/>
  <c r="E14" i="27"/>
  <c r="F14" i="27"/>
  <c r="B15" i="27"/>
  <c r="D15" i="27"/>
  <c r="E15" i="27"/>
  <c r="F15" i="27"/>
  <c r="C11" i="27"/>
  <c r="D11" i="27"/>
  <c r="E11" i="27"/>
  <c r="D11" i="2"/>
  <c r="E11" i="2"/>
  <c r="D12" i="2"/>
  <c r="E12" i="2"/>
  <c r="F12" i="2"/>
  <c r="G12" i="2"/>
  <c r="H12" i="2"/>
  <c r="I12" i="2"/>
  <c r="J12" i="2"/>
  <c r="J29" i="2" s="1"/>
  <c r="D13" i="2"/>
  <c r="E13" i="2"/>
  <c r="C58" i="2" s="1"/>
  <c r="F13" i="2"/>
  <c r="G13" i="2"/>
  <c r="H13" i="2"/>
  <c r="E10" i="2"/>
  <c r="D10" i="2"/>
  <c r="C12" i="1"/>
  <c r="C14" i="1" s="1"/>
  <c r="D12" i="1"/>
  <c r="C4" i="1"/>
  <c r="C5" i="1"/>
  <c r="C3" i="1"/>
  <c r="D4" i="2"/>
  <c r="E4" i="2"/>
  <c r="D5" i="2"/>
  <c r="D6" i="2"/>
  <c r="E6" i="2"/>
  <c r="E3" i="2"/>
  <c r="D3" i="2"/>
  <c r="B12" i="27"/>
  <c r="C12" i="27"/>
  <c r="D12" i="27"/>
  <c r="E12" i="27"/>
  <c r="F12" i="27"/>
  <c r="A44" i="2"/>
  <c r="A42" i="2"/>
  <c r="A40" i="2"/>
  <c r="F9" i="26"/>
  <c r="F28" i="26" s="1"/>
  <c r="C19" i="1"/>
  <c r="B8" i="26" s="1"/>
  <c r="B27" i="26" s="1"/>
  <c r="D20" i="2"/>
  <c r="D2" i="2"/>
  <c r="B1" i="26" s="1"/>
  <c r="B17" i="26" s="1"/>
  <c r="B47" i="26" s="1"/>
  <c r="C20" i="1"/>
  <c r="C21" i="1"/>
  <c r="C23" i="1"/>
  <c r="C28" i="1"/>
  <c r="C29" i="1"/>
  <c r="C2" i="1"/>
  <c r="C41" i="15"/>
  <c r="D41" i="15"/>
  <c r="D15" i="2" l="1"/>
  <c r="E15" i="2"/>
  <c r="D8" i="2"/>
  <c r="C8" i="1"/>
  <c r="E82" i="30"/>
  <c r="C22" i="26"/>
  <c r="O31" i="30"/>
  <c r="N31" i="30"/>
  <c r="M31" i="30"/>
  <c r="B22" i="29"/>
  <c r="B35" i="29" s="1"/>
  <c r="B21" i="29"/>
  <c r="B34" i="29" s="1"/>
  <c r="C70" i="15"/>
  <c r="B3" i="29"/>
  <c r="C5" i="29"/>
  <c r="B5" i="29"/>
  <c r="B23" i="29"/>
  <c r="B36" i="29" s="1"/>
  <c r="B19" i="26"/>
  <c r="F29" i="2"/>
  <c r="D21" i="2"/>
  <c r="D28" i="2"/>
  <c r="E2" i="2"/>
  <c r="D2" i="1"/>
  <c r="C42" i="1" s="1"/>
  <c r="D30" i="2"/>
  <c r="D22" i="2"/>
  <c r="G29" i="2"/>
  <c r="D29" i="2"/>
  <c r="D24" i="2"/>
  <c r="B21" i="26"/>
  <c r="G30" i="2"/>
  <c r="I29" i="2"/>
  <c r="E29" i="2"/>
  <c r="E30" i="2"/>
  <c r="F30" i="2"/>
  <c r="D27" i="2"/>
  <c r="H29" i="2"/>
  <c r="B22" i="26"/>
  <c r="B20" i="26"/>
  <c r="C55" i="15"/>
  <c r="C48" i="15"/>
  <c r="B11" i="29"/>
  <c r="B20" i="29"/>
  <c r="B33" i="29" s="1"/>
  <c r="B19" i="29" l="1"/>
  <c r="C57" i="2"/>
  <c r="K14" i="2"/>
  <c r="B24" i="26"/>
  <c r="B43" i="26" s="1"/>
  <c r="C54" i="2"/>
  <c r="K15" i="2"/>
  <c r="C3" i="30"/>
  <c r="B54" i="26"/>
  <c r="K10" i="2"/>
  <c r="B32" i="29"/>
  <c r="C1" i="26"/>
  <c r="C17" i="26" s="1"/>
  <c r="C47" i="2"/>
  <c r="C54" i="26"/>
  <c r="C56" i="2"/>
  <c r="C55" i="2"/>
  <c r="D36" i="2"/>
  <c r="D42" i="2" s="1"/>
  <c r="D35" i="2"/>
  <c r="D38" i="2" s="1"/>
  <c r="B3" i="26"/>
  <c r="D16" i="2"/>
  <c r="D40" i="2"/>
  <c r="C15" i="1"/>
  <c r="C16" i="1" s="1"/>
  <c r="C37" i="1"/>
  <c r="B4" i="26"/>
  <c r="B32" i="26"/>
  <c r="D56" i="2"/>
  <c r="D32" i="2"/>
  <c r="C59" i="2" s="1"/>
  <c r="D44" i="2"/>
  <c r="K13" i="2"/>
  <c r="D57" i="2"/>
  <c r="C36" i="1"/>
  <c r="C39" i="1" s="1"/>
  <c r="E36" i="2"/>
  <c r="E42" i="2" s="1"/>
  <c r="K12" i="2"/>
  <c r="K11" i="2"/>
  <c r="D9" i="2"/>
  <c r="D1" i="29"/>
  <c r="C28" i="29" s="1"/>
  <c r="E2" i="1"/>
  <c r="D42" i="1" s="1"/>
  <c r="E41" i="15"/>
  <c r="F2" i="2"/>
  <c r="D47" i="2" s="1"/>
  <c r="B5" i="26" l="1"/>
  <c r="B37" i="26"/>
  <c r="C47" i="26"/>
  <c r="D43" i="2"/>
  <c r="D39" i="2"/>
  <c r="B42" i="26"/>
  <c r="D2" i="26"/>
  <c r="D18" i="26" s="1"/>
  <c r="C38" i="26" s="1"/>
  <c r="D47" i="26" s="1"/>
  <c r="E1" i="29"/>
  <c r="D28" i="29" s="1"/>
  <c r="F2" i="1"/>
  <c r="E42" i="1" s="1"/>
  <c r="F41" i="15"/>
  <c r="G2" i="2"/>
  <c r="E47" i="2" s="1"/>
  <c r="E2" i="26" l="1"/>
  <c r="E18" i="26" s="1"/>
  <c r="D38" i="26" s="1"/>
  <c r="E47" i="26" s="1"/>
  <c r="F1" i="29"/>
  <c r="E28" i="29" s="1"/>
  <c r="H2" i="2"/>
  <c r="F47" i="2" s="1"/>
  <c r="G2" i="1"/>
  <c r="F42" i="1" s="1"/>
  <c r="G41" i="15"/>
  <c r="G1" i="29" l="1"/>
  <c r="F28" i="29" s="1"/>
  <c r="H2" i="1"/>
  <c r="G42" i="1" s="1"/>
  <c r="H1" i="32"/>
  <c r="G27" i="32" s="1"/>
  <c r="I2" i="2"/>
  <c r="G47" i="2" s="1"/>
  <c r="H41" i="15"/>
  <c r="F2" i="26"/>
  <c r="F18" i="26" s="1"/>
  <c r="E38" i="26" s="1"/>
  <c r="F47" i="26" s="1"/>
  <c r="H1" i="29" l="1"/>
  <c r="G28" i="29" s="1"/>
  <c r="J2" i="2"/>
  <c r="H47" i="2" s="1"/>
  <c r="I2" i="1"/>
  <c r="H42" i="1" s="1"/>
  <c r="I41" i="15"/>
  <c r="G2" i="26"/>
  <c r="G18" i="26" s="1"/>
  <c r="F38" i="26" s="1"/>
  <c r="G47" i="26" s="1"/>
  <c r="H2" i="26" l="1"/>
  <c r="H18" i="26" s="1"/>
  <c r="G38" i="26" s="1"/>
  <c r="H47" i="26" s="1"/>
  <c r="E5" i="28" l="1"/>
  <c r="E2" i="32" s="1"/>
  <c r="F6" i="1"/>
  <c r="F27" i="15" l="1"/>
  <c r="F23" i="1" s="1"/>
  <c r="F5" i="28"/>
  <c r="F2" i="32" s="1"/>
  <c r="E15" i="32" s="1"/>
  <c r="G6" i="1"/>
  <c r="G27" i="15" l="1"/>
  <c r="G23" i="1" s="1"/>
  <c r="G5" i="28"/>
  <c r="G2" i="32" s="1"/>
  <c r="F15" i="32" s="1"/>
  <c r="H6" i="1"/>
  <c r="H27" i="15" l="1"/>
  <c r="H23" i="1" s="1"/>
  <c r="I6" i="1"/>
  <c r="H5" i="28"/>
  <c r="H2" i="32" s="1"/>
  <c r="G15" i="32" l="1"/>
  <c r="D33" i="15" l="1"/>
  <c r="D29" i="1" s="1"/>
  <c r="E12" i="1"/>
  <c r="D13" i="28"/>
  <c r="D4" i="32" l="1"/>
  <c r="D32" i="32" l="1"/>
  <c r="D31" i="32"/>
  <c r="D29" i="32"/>
  <c r="C17" i="32"/>
  <c r="C28" i="32" s="1"/>
  <c r="E33" i="15" l="1"/>
  <c r="E29" i="1" s="1"/>
  <c r="F18" i="15"/>
  <c r="O8" i="15"/>
  <c r="E13" i="28"/>
  <c r="F12" i="1"/>
  <c r="E4" i="32" l="1"/>
  <c r="I5" i="28"/>
  <c r="E22" i="26"/>
  <c r="D17" i="32" l="1"/>
  <c r="D28" i="32" s="1"/>
  <c r="E11" i="32"/>
  <c r="E32" i="32"/>
  <c r="E31" i="32"/>
  <c r="E29" i="32"/>
  <c r="E12" i="32" l="1"/>
  <c r="F33" i="15" l="1"/>
  <c r="F29" i="1" s="1"/>
  <c r="P8" i="15"/>
  <c r="G18" i="15"/>
  <c r="G12" i="1"/>
  <c r="F13" i="28"/>
  <c r="F4" i="32" l="1"/>
  <c r="F22" i="26"/>
  <c r="E32" i="26" l="1"/>
  <c r="E17" i="32"/>
  <c r="E28" i="32" s="1"/>
  <c r="F11" i="32"/>
  <c r="F31" i="32"/>
  <c r="F32" i="32"/>
  <c r="F12" i="32" l="1"/>
  <c r="E24" i="32"/>
  <c r="G33" i="15"/>
  <c r="G29" i="1" s="1"/>
  <c r="H18" i="15"/>
  <c r="Q8" i="15"/>
  <c r="G13" i="28"/>
  <c r="H12" i="1"/>
  <c r="G22" i="26" s="1"/>
  <c r="F32" i="26" l="1"/>
  <c r="G4" i="32"/>
  <c r="F17" i="32" l="1"/>
  <c r="F28" i="32" s="1"/>
  <c r="G11" i="32"/>
  <c r="G12" i="32" l="1"/>
  <c r="F24" i="32"/>
  <c r="H33" i="15"/>
  <c r="H29" i="1" s="1"/>
  <c r="R8" i="15"/>
  <c r="I18" i="15"/>
  <c r="H13" i="28"/>
  <c r="I12" i="1"/>
  <c r="H22" i="26" s="1"/>
  <c r="G32" i="26" l="1"/>
  <c r="H4" i="32"/>
  <c r="G17" i="32" l="1"/>
  <c r="G28" i="32" s="1"/>
  <c r="H11" i="32"/>
  <c r="H12" i="32" l="1"/>
  <c r="G24" i="32"/>
  <c r="D27" i="15" l="1"/>
  <c r="D23" i="1" s="1"/>
  <c r="E18" i="15"/>
  <c r="E6" i="1"/>
  <c r="D22" i="26" s="1"/>
  <c r="D5" i="28"/>
  <c r="D2" i="32" s="1"/>
  <c r="N8" i="15"/>
  <c r="E27" i="15"/>
  <c r="E23" i="1" s="1"/>
  <c r="D32" i="26" l="1"/>
  <c r="C32" i="26"/>
  <c r="C15" i="32"/>
  <c r="D15" i="32"/>
  <c r="D11" i="32"/>
  <c r="D12" i="32" l="1"/>
  <c r="C24" i="32"/>
  <c r="D24" i="32"/>
  <c r="H14" i="28" l="1"/>
  <c r="I13" i="1"/>
  <c r="H34" i="15"/>
  <c r="H30" i="1" s="1"/>
  <c r="D3" i="32" l="1"/>
  <c r="C16" i="32" s="1"/>
  <c r="D62" i="15"/>
  <c r="F6" i="2"/>
  <c r="E24" i="2" s="1"/>
  <c r="E3" i="32" l="1"/>
  <c r="D16" i="32" s="1"/>
  <c r="G6" i="2"/>
  <c r="F24" i="2" s="1"/>
  <c r="E62" i="15"/>
  <c r="F62" i="15" l="1"/>
  <c r="F3" i="32"/>
  <c r="E16" i="32" s="1"/>
  <c r="H6" i="2"/>
  <c r="G24" i="2" s="1"/>
  <c r="G3" i="32" l="1"/>
  <c r="F16" i="32" s="1"/>
  <c r="G62" i="15"/>
  <c r="I6" i="2"/>
  <c r="H24" i="2" s="1"/>
  <c r="H3" i="32" l="1"/>
  <c r="H62" i="15"/>
  <c r="J6" i="2"/>
  <c r="I24" i="2" l="1"/>
  <c r="G16" i="32"/>
  <c r="Q25" i="15" l="1"/>
  <c r="P25" i="15"/>
  <c r="M9" i="30" l="1"/>
  <c r="N9" i="30" l="1"/>
  <c r="O9" i="30" l="1"/>
  <c r="K15" i="30" l="1"/>
  <c r="L15" i="30"/>
  <c r="K21" i="30" l="1"/>
  <c r="L21" i="30"/>
  <c r="K41" i="30" l="1"/>
  <c r="L41" i="30"/>
  <c r="F38" i="28" l="1"/>
  <c r="F43" i="28" s="1"/>
  <c r="F7" i="29" s="1"/>
  <c r="H38" i="28"/>
  <c r="H43" i="28" s="1"/>
  <c r="H32" i="28"/>
  <c r="G32" i="28"/>
  <c r="F32" i="28"/>
  <c r="E32" i="28"/>
  <c r="E38" i="28" l="1"/>
  <c r="E43" i="28" s="1"/>
  <c r="E7" i="29" s="1"/>
  <c r="E21" i="29" s="1"/>
  <c r="G38" i="28"/>
  <c r="G43" i="28" s="1"/>
  <c r="G7" i="29" s="1"/>
  <c r="D32" i="28"/>
  <c r="H7" i="29"/>
  <c r="H7" i="32"/>
  <c r="H20" i="32" s="1"/>
  <c r="D38" i="28"/>
  <c r="D43" i="28" s="1"/>
  <c r="D7" i="29" s="1"/>
  <c r="I44" i="30"/>
  <c r="H21" i="29" l="1"/>
  <c r="C21" i="29"/>
  <c r="D21" i="29"/>
  <c r="G20" i="32"/>
  <c r="G31" i="32" s="1"/>
  <c r="F21" i="29"/>
  <c r="G21" i="29"/>
  <c r="H45" i="28"/>
  <c r="E45" i="28" l="1"/>
  <c r="G45" i="28" l="1"/>
  <c r="F45" i="28"/>
  <c r="E38" i="30"/>
  <c r="F38" i="30"/>
  <c r="F49" i="15" l="1"/>
  <c r="E12" i="30"/>
  <c r="K38" i="30"/>
  <c r="F12" i="30"/>
  <c r="L38" i="30"/>
  <c r="E49" i="15"/>
  <c r="G12" i="30"/>
  <c r="I12" i="30"/>
  <c r="I38" i="30"/>
  <c r="M12" i="30" l="1"/>
  <c r="D45" i="28"/>
  <c r="D65" i="15"/>
  <c r="F10" i="2"/>
  <c r="E65" i="15"/>
  <c r="G10" i="2"/>
  <c r="G38" i="30"/>
  <c r="L12" i="30"/>
  <c r="K12" i="30"/>
  <c r="G49" i="15"/>
  <c r="H12" i="30"/>
  <c r="H38" i="30"/>
  <c r="O38" i="30" s="1"/>
  <c r="O12" i="30" l="1"/>
  <c r="I6" i="30"/>
  <c r="I42" i="15"/>
  <c r="F65" i="15"/>
  <c r="H10" i="2"/>
  <c r="M38" i="30"/>
  <c r="F27" i="2"/>
  <c r="N38" i="30"/>
  <c r="N12" i="30"/>
  <c r="I49" i="15"/>
  <c r="E27" i="2"/>
  <c r="D54" i="2" s="1"/>
  <c r="H49" i="15" l="1"/>
  <c r="H65" i="15" s="1"/>
  <c r="J10" i="2"/>
  <c r="J27" i="2" s="1"/>
  <c r="H6" i="30"/>
  <c r="O6" i="30" s="1"/>
  <c r="H42" i="15"/>
  <c r="H59" i="15" s="1"/>
  <c r="J3" i="2"/>
  <c r="G27" i="2"/>
  <c r="I3" i="2" l="1"/>
  <c r="G65" i="15"/>
  <c r="I10" i="2"/>
  <c r="I27" i="2" s="1"/>
  <c r="E18" i="30" l="1"/>
  <c r="I21" i="2"/>
  <c r="H27" i="2"/>
  <c r="F18" i="30" l="1"/>
  <c r="K18" i="30"/>
  <c r="G18" i="30" l="1"/>
  <c r="I18" i="30"/>
  <c r="L18" i="30"/>
  <c r="H18" i="30"/>
  <c r="M18" i="30" l="1"/>
  <c r="O18" i="30"/>
  <c r="N18" i="30"/>
  <c r="I50" i="15" l="1"/>
  <c r="J11" i="2" l="1"/>
  <c r="H50" i="15" l="1"/>
  <c r="G50" i="15"/>
  <c r="F50" i="15"/>
  <c r="G66" i="15" l="1"/>
  <c r="I11" i="2"/>
  <c r="H66" i="15"/>
  <c r="E50" i="15"/>
  <c r="E66" i="15" s="1"/>
  <c r="G11" i="2"/>
  <c r="F66" i="15"/>
  <c r="H11" i="2"/>
  <c r="G28" i="2" l="1"/>
  <c r="D66" i="15"/>
  <c r="F11" i="2"/>
  <c r="H28" i="2"/>
  <c r="I28" i="2"/>
  <c r="F28" i="2" l="1"/>
  <c r="J28" i="2"/>
  <c r="E28" i="2"/>
  <c r="D55" i="2" s="1"/>
  <c r="F33" i="28" l="1"/>
  <c r="E33" i="28"/>
  <c r="D33" i="28"/>
  <c r="G33" i="28" l="1"/>
  <c r="H33" i="28"/>
  <c r="F35" i="28" l="1"/>
  <c r="D35" i="28"/>
  <c r="E35" i="28"/>
  <c r="G35" i="28"/>
  <c r="G9" i="32" l="1"/>
  <c r="G36" i="28"/>
  <c r="G9" i="29" s="1"/>
  <c r="D9" i="32"/>
  <c r="D36" i="28"/>
  <c r="D9" i="29" s="1"/>
  <c r="E9" i="32"/>
  <c r="E36" i="28"/>
  <c r="E9" i="29" s="1"/>
  <c r="F9" i="32"/>
  <c r="F36" i="28"/>
  <c r="F9" i="29" s="1"/>
  <c r="E22" i="32" l="1"/>
  <c r="E33" i="32" s="1"/>
  <c r="D23" i="29"/>
  <c r="C22" i="32"/>
  <c r="C33" i="32" s="1"/>
  <c r="C23" i="29"/>
  <c r="D22" i="32"/>
  <c r="D33" i="32" s="1"/>
  <c r="F23" i="29"/>
  <c r="D48" i="28"/>
  <c r="E23" i="29"/>
  <c r="F22" i="32"/>
  <c r="F33" i="32" s="1"/>
  <c r="H35" i="28"/>
  <c r="H9" i="32" l="1"/>
  <c r="H22" i="32" s="1"/>
  <c r="H36" i="28"/>
  <c r="H9" i="29" s="1"/>
  <c r="H23" i="29" s="1"/>
  <c r="D10" i="32"/>
  <c r="D50" i="28"/>
  <c r="D10" i="29" s="1"/>
  <c r="C23" i="32" l="1"/>
  <c r="C34" i="32" s="1"/>
  <c r="G23" i="29"/>
  <c r="G22" i="32"/>
  <c r="G33" i="32" s="1"/>
  <c r="I52" i="15" l="1"/>
  <c r="H5" i="32" l="1"/>
  <c r="H18" i="32" s="1"/>
  <c r="J13" i="2"/>
  <c r="J30" i="2" s="1"/>
  <c r="H52" i="15"/>
  <c r="G68" i="15" l="1"/>
  <c r="G5" i="32"/>
  <c r="G18" i="32" s="1"/>
  <c r="I13" i="2"/>
  <c r="H68" i="15"/>
  <c r="H30" i="2" l="1"/>
  <c r="F18" i="32"/>
  <c r="F29" i="32" s="1"/>
  <c r="G29" i="32"/>
  <c r="I30" i="2"/>
  <c r="D19" i="28" l="1"/>
  <c r="D23" i="28" s="1"/>
  <c r="D8" i="29" s="1"/>
  <c r="F19" i="28"/>
  <c r="F23" i="28" s="1"/>
  <c r="F8" i="29" s="1"/>
  <c r="E19" i="28"/>
  <c r="E23" i="28" s="1"/>
  <c r="E8" i="29" s="1"/>
  <c r="E22" i="29" l="1"/>
  <c r="D22" i="29"/>
  <c r="C22" i="29"/>
  <c r="G19" i="28"/>
  <c r="G23" i="28" s="1"/>
  <c r="G8" i="29" s="1"/>
  <c r="F22" i="29" l="1"/>
  <c r="H19" i="28"/>
  <c r="H23" i="28" s="1"/>
  <c r="H8" i="29" l="1"/>
  <c r="H22" i="29" s="1"/>
  <c r="H8" i="32"/>
  <c r="H21" i="32" s="1"/>
  <c r="G21" i="32" l="1"/>
  <c r="G32" i="32" s="1"/>
  <c r="G22" i="29"/>
  <c r="E19" i="30" l="1"/>
  <c r="E39" i="30"/>
  <c r="K39" i="30" l="1"/>
  <c r="E37" i="30"/>
  <c r="K19" i="30"/>
  <c r="E17" i="30"/>
  <c r="F39" i="30"/>
  <c r="F19" i="30"/>
  <c r="L19" i="30" l="1"/>
  <c r="F17" i="30"/>
  <c r="C79" i="30"/>
  <c r="K37" i="30"/>
  <c r="K17" i="30"/>
  <c r="L39" i="30"/>
  <c r="F37" i="30"/>
  <c r="L37" i="30" l="1"/>
  <c r="D79" i="30"/>
  <c r="L17" i="30"/>
  <c r="G39" i="30"/>
  <c r="I19" i="30"/>
  <c r="H39" i="30" l="1"/>
  <c r="I17" i="30"/>
  <c r="M39" i="30"/>
  <c r="G37" i="30"/>
  <c r="I39" i="30"/>
  <c r="G19" i="30"/>
  <c r="M37" i="30" l="1"/>
  <c r="O39" i="30"/>
  <c r="I37" i="30"/>
  <c r="P37" i="30" s="1"/>
  <c r="N39" i="30"/>
  <c r="H37" i="30"/>
  <c r="M19" i="30"/>
  <c r="G17" i="30"/>
  <c r="H19" i="30"/>
  <c r="M17" i="30" l="1"/>
  <c r="N37" i="30"/>
  <c r="E79" i="30"/>
  <c r="O37" i="30"/>
  <c r="N19" i="30"/>
  <c r="H17" i="30"/>
  <c r="O19" i="30"/>
  <c r="N17" i="30" l="1"/>
  <c r="O17" i="30"/>
  <c r="E46" i="28" l="1"/>
  <c r="G46" i="28" l="1"/>
  <c r="F46" i="28"/>
  <c r="H46" i="28" l="1"/>
  <c r="H28" i="28" l="1"/>
  <c r="H30" i="28" s="1"/>
  <c r="H6" i="32" l="1"/>
  <c r="H6" i="29"/>
  <c r="E28" i="28"/>
  <c r="G28" i="28"/>
  <c r="F28" i="28"/>
  <c r="D28" i="28"/>
  <c r="F30" i="28" l="1"/>
  <c r="F6" i="29" s="1"/>
  <c r="F6" i="32"/>
  <c r="E30" i="28"/>
  <c r="E6" i="29" s="1"/>
  <c r="E6" i="32"/>
  <c r="D30" i="28"/>
  <c r="D6" i="29" s="1"/>
  <c r="H20" i="29" s="1"/>
  <c r="D6" i="32"/>
  <c r="H19" i="32" s="1"/>
  <c r="G30" i="28"/>
  <c r="G6" i="29" s="1"/>
  <c r="G6" i="32"/>
  <c r="G19" i="32" s="1"/>
  <c r="F19" i="32" l="1"/>
  <c r="G30" i="32"/>
  <c r="D19" i="32"/>
  <c r="D30" i="32" s="1"/>
  <c r="F20" i="29"/>
  <c r="D20" i="29"/>
  <c r="G20" i="29"/>
  <c r="C19" i="32"/>
  <c r="C30" i="32" s="1"/>
  <c r="E19" i="32"/>
  <c r="E30" i="32" s="1"/>
  <c r="F30" i="32"/>
  <c r="C20" i="29"/>
  <c r="E20" i="29"/>
  <c r="F48" i="28" l="1"/>
  <c r="F10" i="32" l="1"/>
  <c r="F50" i="28"/>
  <c r="F10" i="29" s="1"/>
  <c r="E48" i="28" l="1"/>
  <c r="E10" i="32" l="1"/>
  <c r="E50" i="28"/>
  <c r="E10" i="29" s="1"/>
  <c r="G48" i="28" l="1"/>
  <c r="D24" i="29"/>
  <c r="E24" i="29"/>
  <c r="D23" i="32"/>
  <c r="D34" i="32" s="1"/>
  <c r="E23" i="32"/>
  <c r="E34" i="32" s="1"/>
  <c r="G10" i="32" l="1"/>
  <c r="G50" i="28"/>
  <c r="G10" i="29" s="1"/>
  <c r="H48" i="28"/>
  <c r="H10" i="32" l="1"/>
  <c r="H23" i="32" s="1"/>
  <c r="H50" i="28"/>
  <c r="H10" i="29" s="1"/>
  <c r="H24" i="29" s="1"/>
  <c r="F24" i="29"/>
  <c r="F23" i="32"/>
  <c r="F34" i="32" s="1"/>
  <c r="G24" i="29" l="1"/>
  <c r="G23" i="32"/>
  <c r="G34" i="32" s="1"/>
  <c r="N24" i="15" l="1"/>
  <c r="O24" i="15" l="1"/>
  <c r="P24" i="15"/>
  <c r="Q24" i="15"/>
  <c r="R24" i="15"/>
  <c r="C45" i="28" l="1"/>
  <c r="E44" i="30"/>
  <c r="E26" i="30"/>
  <c r="K26" i="30" l="1"/>
  <c r="F44" i="30"/>
  <c r="K44" i="30"/>
  <c r="H44" i="30"/>
  <c r="F26" i="30" l="1"/>
  <c r="G44" i="30"/>
  <c r="N44" i="30" s="1"/>
  <c r="L44" i="30"/>
  <c r="O44" i="30"/>
  <c r="D11" i="15"/>
  <c r="M44" i="30" l="1"/>
  <c r="I26" i="30"/>
  <c r="G26" i="30"/>
  <c r="L26" i="30"/>
  <c r="D9" i="1"/>
  <c r="C10" i="28"/>
  <c r="C30" i="15"/>
  <c r="C26" i="1" s="1"/>
  <c r="M5" i="15"/>
  <c r="G67" i="30" l="1"/>
  <c r="G42" i="15"/>
  <c r="G6" i="30"/>
  <c r="C19" i="26"/>
  <c r="M26" i="30"/>
  <c r="E42" i="15"/>
  <c r="E6" i="30"/>
  <c r="P6" i="30" s="1"/>
  <c r="H26" i="30"/>
  <c r="K6" i="30" l="1"/>
  <c r="C67" i="30"/>
  <c r="B29" i="26"/>
  <c r="B39" i="26" s="1"/>
  <c r="F3" i="2"/>
  <c r="J21" i="2" s="1"/>
  <c r="D59" i="15"/>
  <c r="F6" i="30"/>
  <c r="M6" i="30" s="1"/>
  <c r="F42" i="15"/>
  <c r="N26" i="30"/>
  <c r="F67" i="30"/>
  <c r="N6" i="30"/>
  <c r="E67" i="30"/>
  <c r="H3" i="2"/>
  <c r="G59" i="15"/>
  <c r="O26" i="30"/>
  <c r="H21" i="2" l="1"/>
  <c r="F59" i="15"/>
  <c r="E59" i="15"/>
  <c r="G3" i="2"/>
  <c r="G21" i="2" s="1"/>
  <c r="E21" i="2"/>
  <c r="L6" i="30"/>
  <c r="D67" i="30"/>
  <c r="F21" i="2" l="1"/>
  <c r="E5" i="15" l="1"/>
  <c r="D2" i="28" l="1"/>
  <c r="D24" i="15"/>
  <c r="D20" i="1" s="1"/>
  <c r="E3" i="1"/>
  <c r="I5" i="15"/>
  <c r="F5" i="15"/>
  <c r="F3" i="1" l="1"/>
  <c r="E24" i="15"/>
  <c r="E20" i="1" s="1"/>
  <c r="E2" i="28"/>
  <c r="O14" i="15"/>
  <c r="E19" i="15"/>
  <c r="H2" i="28"/>
  <c r="I3" i="1"/>
  <c r="G5" i="15"/>
  <c r="F24" i="15" l="1"/>
  <c r="F20" i="1" s="1"/>
  <c r="G3" i="1"/>
  <c r="F2" i="28"/>
  <c r="S14" i="15"/>
  <c r="I19" i="15"/>
  <c r="P14" i="15"/>
  <c r="F19" i="15"/>
  <c r="D50" i="26"/>
  <c r="D54" i="26" s="1"/>
  <c r="N22" i="15"/>
  <c r="I11" i="15"/>
  <c r="H5" i="15"/>
  <c r="Q14" i="15" l="1"/>
  <c r="G19" i="15"/>
  <c r="H50" i="26"/>
  <c r="H54" i="26" s="1"/>
  <c r="G24" i="15"/>
  <c r="G20" i="1" s="1"/>
  <c r="H3" i="1"/>
  <c r="G2" i="28"/>
  <c r="H24" i="15"/>
  <c r="H20" i="1" s="1"/>
  <c r="H10" i="28"/>
  <c r="I9" i="1"/>
  <c r="R5" i="15"/>
  <c r="E50" i="26"/>
  <c r="E54" i="26" s="1"/>
  <c r="O22" i="15"/>
  <c r="E11" i="15"/>
  <c r="H19" i="15" l="1"/>
  <c r="R14" i="15"/>
  <c r="H19" i="26"/>
  <c r="P22" i="15"/>
  <c r="F50" i="26"/>
  <c r="F54" i="26" s="1"/>
  <c r="N5" i="15"/>
  <c r="D30" i="15"/>
  <c r="D26" i="1" s="1"/>
  <c r="D10" i="28"/>
  <c r="E9" i="1"/>
  <c r="F11" i="15"/>
  <c r="E30" i="15" l="1"/>
  <c r="E26" i="1" s="1"/>
  <c r="O5" i="15"/>
  <c r="F9" i="1"/>
  <c r="E10" i="28"/>
  <c r="D19" i="26"/>
  <c r="C29" i="26" s="1"/>
  <c r="G50" i="26"/>
  <c r="G54" i="26" s="1"/>
  <c r="Q22" i="15"/>
  <c r="R22" i="15"/>
  <c r="G11" i="15"/>
  <c r="I2" i="28" l="1"/>
  <c r="P5" i="15"/>
  <c r="F30" i="15"/>
  <c r="F26" i="1" s="1"/>
  <c r="F10" i="28"/>
  <c r="G9" i="1"/>
  <c r="E19" i="26"/>
  <c r="D29" i="26" s="1"/>
  <c r="H11" i="15"/>
  <c r="F19" i="26" l="1"/>
  <c r="E29" i="26" s="1"/>
  <c r="G10" i="28"/>
  <c r="G30" i="15"/>
  <c r="G26" i="1" s="1"/>
  <c r="H9" i="1"/>
  <c r="Q5" i="15"/>
  <c r="H30" i="15"/>
  <c r="H26" i="1" s="1"/>
  <c r="G19" i="26" l="1"/>
  <c r="F29" i="26" l="1"/>
  <c r="G29" i="26"/>
  <c r="B55" i="28" l="1"/>
  <c r="B54" i="28" l="1"/>
  <c r="B52" i="28"/>
  <c r="B57" i="28" l="1"/>
  <c r="F46" i="30"/>
  <c r="E47" i="30" l="1"/>
  <c r="K47" i="30" s="1"/>
  <c r="E29" i="30"/>
  <c r="E45" i="30"/>
  <c r="K45" i="30" l="1"/>
  <c r="G46" i="30"/>
  <c r="M46" i="30" s="1"/>
  <c r="F29" i="30"/>
  <c r="F47" i="30"/>
  <c r="L47" i="30" s="1"/>
  <c r="E46" i="30"/>
  <c r="I46" i="30"/>
  <c r="K29" i="30"/>
  <c r="E25" i="30"/>
  <c r="C46" i="28"/>
  <c r="C50" i="28" s="1"/>
  <c r="C10" i="29" s="1"/>
  <c r="B24" i="29" s="1"/>
  <c r="B37" i="29" s="1"/>
  <c r="F45" i="30"/>
  <c r="H46" i="30" l="1"/>
  <c r="N46" i="30" s="1"/>
  <c r="K46" i="30"/>
  <c r="L46" i="30"/>
  <c r="G29" i="30"/>
  <c r="C24" i="29"/>
  <c r="L29" i="30"/>
  <c r="D70" i="30"/>
  <c r="F25" i="30"/>
  <c r="E43" i="30"/>
  <c r="L45" i="30"/>
  <c r="F43" i="30"/>
  <c r="C83" i="30"/>
  <c r="K25" i="30"/>
  <c r="G45" i="30"/>
  <c r="E53" i="15"/>
  <c r="L25" i="30" l="1"/>
  <c r="D83" i="30"/>
  <c r="L43" i="30"/>
  <c r="O46" i="30"/>
  <c r="M45" i="30"/>
  <c r="H29" i="30"/>
  <c r="C80" i="30"/>
  <c r="K43" i="30"/>
  <c r="M29" i="30"/>
  <c r="G25" i="30"/>
  <c r="H47" i="30"/>
  <c r="G47" i="30"/>
  <c r="M47" i="30" s="1"/>
  <c r="F14" i="2"/>
  <c r="D69" i="15"/>
  <c r="E54" i="15"/>
  <c r="I45" i="30"/>
  <c r="D12" i="15"/>
  <c r="H45" i="30"/>
  <c r="F53" i="15"/>
  <c r="M25" i="30" l="1"/>
  <c r="D80" i="30"/>
  <c r="E70" i="30"/>
  <c r="N47" i="30"/>
  <c r="G43" i="30"/>
  <c r="N29" i="30"/>
  <c r="F70" i="30"/>
  <c r="H25" i="30"/>
  <c r="E10" i="30"/>
  <c r="K10" i="30" s="1"/>
  <c r="E46" i="15"/>
  <c r="N45" i="30"/>
  <c r="H43" i="30"/>
  <c r="C11" i="28"/>
  <c r="C15" i="28" s="1"/>
  <c r="C4" i="29" s="1"/>
  <c r="M6" i="15"/>
  <c r="C31" i="15"/>
  <c r="C27" i="1" s="1"/>
  <c r="D10" i="1"/>
  <c r="D16" i="15"/>
  <c r="O45" i="30"/>
  <c r="I29" i="30"/>
  <c r="I53" i="15"/>
  <c r="D70" i="15"/>
  <c r="D5" i="29"/>
  <c r="G14" i="2"/>
  <c r="E69" i="15"/>
  <c r="F54" i="15"/>
  <c r="E31" i="2"/>
  <c r="F15" i="2"/>
  <c r="I47" i="30"/>
  <c r="O47" i="30" s="1"/>
  <c r="G53" i="15"/>
  <c r="M43" i="30" l="1"/>
  <c r="N25" i="30"/>
  <c r="D58" i="2"/>
  <c r="N43" i="30"/>
  <c r="I43" i="30"/>
  <c r="P43" i="30" s="1"/>
  <c r="F10" i="30"/>
  <c r="L10" i="30" s="1"/>
  <c r="F46" i="15"/>
  <c r="O29" i="30"/>
  <c r="G70" i="30"/>
  <c r="I25" i="30"/>
  <c r="P25" i="30" s="1"/>
  <c r="C16" i="28"/>
  <c r="C35" i="15"/>
  <c r="C31" i="1" s="1"/>
  <c r="D55" i="15"/>
  <c r="E16" i="2"/>
  <c r="B18" i="29"/>
  <c r="B31" i="29" s="1"/>
  <c r="C34" i="29"/>
  <c r="C36" i="29"/>
  <c r="C35" i="29"/>
  <c r="C33" i="29"/>
  <c r="C37" i="29"/>
  <c r="F7" i="2"/>
  <c r="D63" i="15"/>
  <c r="C20" i="26"/>
  <c r="D14" i="1"/>
  <c r="H14" i="2"/>
  <c r="F69" i="15"/>
  <c r="G54" i="15"/>
  <c r="E5" i="29"/>
  <c r="E70" i="15"/>
  <c r="C19" i="29"/>
  <c r="C32" i="29" s="1"/>
  <c r="E56" i="2"/>
  <c r="F36" i="2"/>
  <c r="F42" i="2" s="1"/>
  <c r="E54" i="2"/>
  <c r="E55" i="2"/>
  <c r="E32" i="2"/>
  <c r="D59" i="2" s="1"/>
  <c r="E57" i="2"/>
  <c r="F31" i="2"/>
  <c r="G15" i="2"/>
  <c r="J14" i="2"/>
  <c r="J31" i="2" s="1"/>
  <c r="I54" i="15"/>
  <c r="E58" i="2" l="1"/>
  <c r="C4" i="26"/>
  <c r="C51" i="1"/>
  <c r="C52" i="1"/>
  <c r="C53" i="1"/>
  <c r="C49" i="1"/>
  <c r="E44" i="2"/>
  <c r="E43" i="2" s="1"/>
  <c r="D53" i="1"/>
  <c r="D37" i="1"/>
  <c r="C50" i="1"/>
  <c r="C54" i="1"/>
  <c r="D52" i="1"/>
  <c r="D49" i="1"/>
  <c r="B30" i="26"/>
  <c r="B40" i="26" s="1"/>
  <c r="E25" i="2"/>
  <c r="E83" i="30"/>
  <c r="O25" i="30"/>
  <c r="G7" i="2"/>
  <c r="E63" i="15"/>
  <c r="E80" i="30"/>
  <c r="O43" i="30"/>
  <c r="D19" i="29"/>
  <c r="H5" i="29"/>
  <c r="H19" i="29" s="1"/>
  <c r="F56" i="2"/>
  <c r="F55" i="2"/>
  <c r="G36" i="2"/>
  <c r="G42" i="2" s="1"/>
  <c r="F57" i="2"/>
  <c r="F54" i="2"/>
  <c r="F70" i="15"/>
  <c r="F5" i="29"/>
  <c r="H53" i="15"/>
  <c r="J15" i="2"/>
  <c r="J32" i="2" s="1"/>
  <c r="F32" i="2"/>
  <c r="E59" i="2" s="1"/>
  <c r="G31" i="2"/>
  <c r="H15" i="2"/>
  <c r="F25" i="2" l="1"/>
  <c r="B11" i="26"/>
  <c r="G55" i="2"/>
  <c r="G56" i="2"/>
  <c r="H36" i="2"/>
  <c r="H42" i="2" s="1"/>
  <c r="G54" i="2"/>
  <c r="G32" i="2"/>
  <c r="F59" i="2" s="1"/>
  <c r="G57" i="2"/>
  <c r="J36" i="2"/>
  <c r="J42" i="2" s="1"/>
  <c r="E19" i="29"/>
  <c r="F58" i="2"/>
  <c r="I14" i="2"/>
  <c r="G69" i="15"/>
  <c r="H54" i="15"/>
  <c r="H69" i="15"/>
  <c r="H31" i="2" l="1"/>
  <c r="G58" i="2" s="1"/>
  <c r="I15" i="2"/>
  <c r="I31" i="2"/>
  <c r="H58" i="2" s="1"/>
  <c r="G5" i="29"/>
  <c r="G70" i="15"/>
  <c r="H70" i="15"/>
  <c r="I36" i="2" l="1"/>
  <c r="I42" i="2" s="1"/>
  <c r="H57" i="2"/>
  <c r="H56" i="2"/>
  <c r="H54" i="2"/>
  <c r="H32" i="2"/>
  <c r="G59" i="2" s="1"/>
  <c r="H55" i="2"/>
  <c r="I32" i="2"/>
  <c r="H59" i="2" s="1"/>
  <c r="F19" i="29"/>
  <c r="G19" i="29"/>
  <c r="F16" i="30" l="1"/>
  <c r="D71" i="30" l="1"/>
  <c r="F9" i="15" l="1"/>
  <c r="F7" i="1" l="1"/>
  <c r="O9" i="15"/>
  <c r="E6" i="28"/>
  <c r="P17" i="15"/>
  <c r="I6" i="28" l="1"/>
  <c r="E53" i="26"/>
  <c r="P18" i="15"/>
  <c r="E12" i="29" s="1"/>
  <c r="E23" i="26"/>
  <c r="E16" i="30" l="1"/>
  <c r="K16" i="30" l="1"/>
  <c r="C71" i="30"/>
  <c r="L16" i="30"/>
  <c r="E9" i="15"/>
  <c r="E7" i="1" l="1"/>
  <c r="D6" i="28"/>
  <c r="D28" i="15"/>
  <c r="D24" i="1" s="1"/>
  <c r="N9" i="15"/>
  <c r="E28" i="15"/>
  <c r="E24" i="1" s="1"/>
  <c r="O17" i="15"/>
  <c r="N23" i="15" l="1"/>
  <c r="D53" i="26"/>
  <c r="O18" i="15"/>
  <c r="D12" i="29" s="1"/>
  <c r="O23" i="15"/>
  <c r="D23" i="26"/>
  <c r="C26" i="29" l="1"/>
  <c r="C38" i="29" s="1"/>
  <c r="D26" i="29"/>
  <c r="C33" i="26"/>
  <c r="D33" i="26"/>
  <c r="N26" i="15"/>
  <c r="O26" i="15"/>
  <c r="D8" i="30" l="1"/>
  <c r="D44" i="15"/>
  <c r="E8" i="30" l="1"/>
  <c r="E44" i="15"/>
  <c r="D4" i="30"/>
  <c r="B69" i="30"/>
  <c r="B72" i="30" s="1"/>
  <c r="J8" i="30"/>
  <c r="D47" i="15"/>
  <c r="C61" i="15"/>
  <c r="E5" i="2"/>
  <c r="D7" i="15"/>
  <c r="E14" i="30"/>
  <c r="F14" i="30"/>
  <c r="J4" i="30" l="1"/>
  <c r="B56" i="30" s="1"/>
  <c r="F8" i="30"/>
  <c r="F44" i="15"/>
  <c r="K14" i="30"/>
  <c r="E11" i="30"/>
  <c r="D23" i="2"/>
  <c r="E8" i="2"/>
  <c r="D10" i="15"/>
  <c r="D48" i="15" s="1"/>
  <c r="C4" i="28"/>
  <c r="C7" i="28" s="1"/>
  <c r="M7" i="15"/>
  <c r="M10" i="15" s="1"/>
  <c r="C26" i="15"/>
  <c r="C22" i="1" s="1"/>
  <c r="D5" i="1"/>
  <c r="B84" i="30"/>
  <c r="D49" i="30"/>
  <c r="L14" i="30"/>
  <c r="F11" i="30"/>
  <c r="B77" i="30"/>
  <c r="C3" i="29"/>
  <c r="C64" i="15"/>
  <c r="D61" i="15"/>
  <c r="F5" i="2"/>
  <c r="K8" i="30"/>
  <c r="C69" i="30"/>
  <c r="P10" i="30" l="1"/>
  <c r="C60" i="30"/>
  <c r="C58" i="30"/>
  <c r="C59" i="30"/>
  <c r="C61" i="30"/>
  <c r="P3" i="30"/>
  <c r="G8" i="30"/>
  <c r="G44" i="15"/>
  <c r="F23" i="30"/>
  <c r="L11" i="30"/>
  <c r="P30" i="30"/>
  <c r="P22" i="30"/>
  <c r="P24" i="30"/>
  <c r="P36" i="30"/>
  <c r="P42" i="30"/>
  <c r="J49" i="30"/>
  <c r="B62" i="30" s="1"/>
  <c r="K5" i="2"/>
  <c r="K11" i="30"/>
  <c r="E23" i="30"/>
  <c r="E23" i="2"/>
  <c r="D50" i="2" s="1"/>
  <c r="D3" i="30"/>
  <c r="B17" i="29"/>
  <c r="B30" i="29" s="1"/>
  <c r="B85" i="30"/>
  <c r="C2" i="29"/>
  <c r="K8" i="2"/>
  <c r="K7" i="2"/>
  <c r="K6" i="2"/>
  <c r="C48" i="2"/>
  <c r="C49" i="2"/>
  <c r="K3" i="2"/>
  <c r="C51" i="2"/>
  <c r="D26" i="2"/>
  <c r="C53" i="2" s="1"/>
  <c r="K4" i="2"/>
  <c r="C50" i="2"/>
  <c r="E35" i="2"/>
  <c r="E38" i="2" s="1"/>
  <c r="D51" i="2"/>
  <c r="D48" i="2"/>
  <c r="E61" i="15"/>
  <c r="G5" i="2"/>
  <c r="B81" i="30"/>
  <c r="C21" i="26"/>
  <c r="D8" i="1"/>
  <c r="C8" i="28"/>
  <c r="C29" i="15"/>
  <c r="C25" i="1" s="1"/>
  <c r="D17" i="15"/>
  <c r="C36" i="15" s="1"/>
  <c r="L8" i="30"/>
  <c r="D69" i="30"/>
  <c r="F7" i="15"/>
  <c r="F79" i="30" l="1"/>
  <c r="F83" i="30"/>
  <c r="F82" i="30"/>
  <c r="F80" i="30"/>
  <c r="C52" i="2"/>
  <c r="C78" i="30"/>
  <c r="K23" i="30"/>
  <c r="C57" i="30" s="1"/>
  <c r="L23" i="30"/>
  <c r="E7" i="15"/>
  <c r="E26" i="15" s="1"/>
  <c r="E22" i="1" s="1"/>
  <c r="E40" i="2"/>
  <c r="E39" i="2" s="1"/>
  <c r="C44" i="1"/>
  <c r="C48" i="1"/>
  <c r="C45" i="1"/>
  <c r="C3" i="26"/>
  <c r="C47" i="1"/>
  <c r="C46" i="1"/>
  <c r="C43" i="1"/>
  <c r="D36" i="1"/>
  <c r="D39" i="1" s="1"/>
  <c r="D46" i="1"/>
  <c r="D43" i="1"/>
  <c r="D15" i="1"/>
  <c r="D47" i="1"/>
  <c r="F23" i="2"/>
  <c r="J3" i="30"/>
  <c r="B63" i="30" s="1"/>
  <c r="F61" i="15"/>
  <c r="H5" i="2"/>
  <c r="G7" i="15"/>
  <c r="G14" i="30"/>
  <c r="M14" i="30" s="1"/>
  <c r="C32" i="1"/>
  <c r="B25" i="32"/>
  <c r="B31" i="26"/>
  <c r="B41" i="26" s="1"/>
  <c r="C24" i="26"/>
  <c r="M8" i="30"/>
  <c r="E4" i="28"/>
  <c r="F5" i="1"/>
  <c r="E9" i="2"/>
  <c r="B16" i="29"/>
  <c r="B29" i="29" s="1"/>
  <c r="C11" i="29"/>
  <c r="B25" i="29" l="1"/>
  <c r="D78" i="30"/>
  <c r="F78" i="30" s="1"/>
  <c r="E69" i="30"/>
  <c r="G23" i="2"/>
  <c r="C33" i="1"/>
  <c r="B34" i="26"/>
  <c r="B44" i="26" s="1"/>
  <c r="C42" i="26"/>
  <c r="C39" i="26"/>
  <c r="C43" i="26"/>
  <c r="B10" i="26"/>
  <c r="C5" i="26"/>
  <c r="G5" i="1"/>
  <c r="F26" i="15"/>
  <c r="F22" i="1" s="1"/>
  <c r="F4" i="28"/>
  <c r="D16" i="1"/>
  <c r="D4" i="28"/>
  <c r="E5" i="1"/>
  <c r="D26" i="15"/>
  <c r="D22" i="1" s="1"/>
  <c r="D45" i="1" s="1"/>
  <c r="C26" i="26" l="1"/>
  <c r="B12" i="26"/>
  <c r="G13" i="15" l="1"/>
  <c r="F13" i="15"/>
  <c r="E13" i="15"/>
  <c r="E32" i="15" l="1"/>
  <c r="E28" i="1" s="1"/>
  <c r="O7" i="15"/>
  <c r="E12" i="28"/>
  <c r="I4" i="28" s="1"/>
  <c r="F11" i="1"/>
  <c r="G11" i="1"/>
  <c r="F12" i="28"/>
  <c r="F32" i="15"/>
  <c r="F28" i="1" s="1"/>
  <c r="P7" i="15"/>
  <c r="N7" i="15"/>
  <c r="D12" i="28"/>
  <c r="E11" i="1"/>
  <c r="D32" i="15"/>
  <c r="D28" i="1" s="1"/>
  <c r="D51" i="1" s="1"/>
  <c r="E21" i="26" l="1"/>
  <c r="D21" i="26"/>
  <c r="F21" i="26"/>
  <c r="E31" i="26" l="1"/>
  <c r="C31" i="26"/>
  <c r="C41" i="26" s="1"/>
  <c r="D31" i="26"/>
  <c r="I8" i="30" l="1"/>
  <c r="P8" i="30" s="1"/>
  <c r="I44" i="15"/>
  <c r="J5" i="2" l="1"/>
  <c r="J23" i="2" s="1"/>
  <c r="H8" i="30"/>
  <c r="O8" i="30" s="1"/>
  <c r="H44" i="15"/>
  <c r="G61" i="15" l="1"/>
  <c r="I5" i="2"/>
  <c r="I23" i="2" s="1"/>
  <c r="N8" i="30"/>
  <c r="H61" i="15"/>
  <c r="H23" i="2" l="1"/>
  <c r="H14" i="30" l="1"/>
  <c r="H7" i="15"/>
  <c r="G26" i="15" l="1"/>
  <c r="G22" i="1" s="1"/>
  <c r="G4" i="28"/>
  <c r="H5" i="1"/>
  <c r="N14" i="30"/>
  <c r="F69" i="30"/>
  <c r="I14" i="30"/>
  <c r="O14" i="30" l="1"/>
  <c r="G69" i="30"/>
  <c r="I7" i="15" l="1"/>
  <c r="H26" i="15" l="1"/>
  <c r="H22" i="1" s="1"/>
  <c r="H4" i="28"/>
  <c r="I5" i="1"/>
  <c r="H13" i="15"/>
  <c r="G12" i="28" l="1"/>
  <c r="Q7" i="15"/>
  <c r="H11" i="1"/>
  <c r="G32" i="15"/>
  <c r="G28" i="1" s="1"/>
  <c r="G21" i="26" l="1"/>
  <c r="F31" i="26" s="1"/>
  <c r="I13" i="15" l="1"/>
  <c r="R7" i="15" l="1"/>
  <c r="I11" i="1"/>
  <c r="H21" i="26" s="1"/>
  <c r="G31" i="26" s="1"/>
  <c r="H12" i="28"/>
  <c r="H32" i="15"/>
  <c r="H28" i="1" s="1"/>
  <c r="E7" i="30" l="1"/>
  <c r="E43" i="15"/>
  <c r="F43" i="15" l="1"/>
  <c r="F7" i="30"/>
  <c r="D60" i="15"/>
  <c r="F4" i="2"/>
  <c r="E47" i="15"/>
  <c r="K7" i="30"/>
  <c r="C68" i="30"/>
  <c r="E22" i="2" l="1"/>
  <c r="D49" i="2" s="1"/>
  <c r="F8" i="2"/>
  <c r="L7" i="30"/>
  <c r="D68" i="30"/>
  <c r="D72" i="30" s="1"/>
  <c r="F4" i="30"/>
  <c r="C77" i="30"/>
  <c r="D64" i="15"/>
  <c r="D3" i="29"/>
  <c r="E60" i="15"/>
  <c r="G4" i="2"/>
  <c r="F47" i="15"/>
  <c r="C17" i="29" l="1"/>
  <c r="C30" i="29" s="1"/>
  <c r="E3" i="30"/>
  <c r="F22" i="2"/>
  <c r="E49" i="2" s="1"/>
  <c r="G8" i="2"/>
  <c r="E64" i="15"/>
  <c r="E3" i="29"/>
  <c r="D77" i="30"/>
  <c r="F77" i="30" s="1"/>
  <c r="C81" i="30"/>
  <c r="D81" i="30" s="1"/>
  <c r="F81" i="30" s="1"/>
  <c r="F35" i="2"/>
  <c r="F38" i="2" s="1"/>
  <c r="E51" i="2"/>
  <c r="E26" i="2"/>
  <c r="D53" i="2" s="1"/>
  <c r="E48" i="2"/>
  <c r="E50" i="2"/>
  <c r="G43" i="15"/>
  <c r="G7" i="30"/>
  <c r="F49" i="30"/>
  <c r="E6" i="15"/>
  <c r="P2" i="30" l="1"/>
  <c r="E59" i="30"/>
  <c r="E60" i="30"/>
  <c r="E61" i="30"/>
  <c r="E58" i="30"/>
  <c r="H4" i="2"/>
  <c r="F60" i="15"/>
  <c r="D59" i="30"/>
  <c r="D58" i="30"/>
  <c r="D52" i="2"/>
  <c r="H43" i="15"/>
  <c r="H7" i="30"/>
  <c r="D17" i="29"/>
  <c r="F3" i="30"/>
  <c r="F51" i="2"/>
  <c r="G35" i="2"/>
  <c r="G38" i="2" s="1"/>
  <c r="F26" i="2"/>
  <c r="E53" i="2" s="1"/>
  <c r="F48" i="2"/>
  <c r="F50" i="2"/>
  <c r="K3" i="30"/>
  <c r="C63" i="30" s="1"/>
  <c r="D25" i="15"/>
  <c r="D21" i="1" s="1"/>
  <c r="D44" i="1" s="1"/>
  <c r="D3" i="28"/>
  <c r="D7" i="28" s="1"/>
  <c r="E4" i="1"/>
  <c r="E10" i="15"/>
  <c r="M7" i="30"/>
  <c r="E68" i="30"/>
  <c r="F6" i="15"/>
  <c r="D2" i="29" l="1"/>
  <c r="I3" i="29" s="1"/>
  <c r="G60" i="15"/>
  <c r="I4" i="2"/>
  <c r="L3" i="30"/>
  <c r="D29" i="15"/>
  <c r="D25" i="1" s="1"/>
  <c r="D48" i="1" s="1"/>
  <c r="D8" i="28"/>
  <c r="E48" i="15"/>
  <c r="E52" i="2"/>
  <c r="I7" i="30"/>
  <c r="P7" i="30" s="1"/>
  <c r="I43" i="15"/>
  <c r="F4" i="1"/>
  <c r="E25" i="15"/>
  <c r="E21" i="1" s="1"/>
  <c r="E3" i="28"/>
  <c r="E7" i="28" s="1"/>
  <c r="F10" i="15"/>
  <c r="E8" i="1"/>
  <c r="N7" i="30"/>
  <c r="F68" i="30"/>
  <c r="G22" i="2"/>
  <c r="F49" i="2" s="1"/>
  <c r="I6" i="15"/>
  <c r="E44" i="1" l="1"/>
  <c r="E2" i="29"/>
  <c r="D16" i="29" s="1"/>
  <c r="D29" i="29" s="1"/>
  <c r="O7" i="30"/>
  <c r="G68" i="30"/>
  <c r="H22" i="2"/>
  <c r="H3" i="28"/>
  <c r="I4" i="1"/>
  <c r="E47" i="1"/>
  <c r="E43" i="1"/>
  <c r="E36" i="1"/>
  <c r="E39" i="1" s="1"/>
  <c r="E46" i="1"/>
  <c r="D3" i="26"/>
  <c r="C10" i="26" s="1"/>
  <c r="F40" i="2"/>
  <c r="F39" i="2" s="1"/>
  <c r="E45" i="1"/>
  <c r="F9" i="2"/>
  <c r="F8" i="1"/>
  <c r="E8" i="28"/>
  <c r="E29" i="15"/>
  <c r="E25" i="1" s="1"/>
  <c r="E48" i="1" s="1"/>
  <c r="F48" i="15"/>
  <c r="H60" i="15"/>
  <c r="J4" i="2"/>
  <c r="J22" i="2" s="1"/>
  <c r="C16" i="29"/>
  <c r="C29" i="29" s="1"/>
  <c r="J3" i="29"/>
  <c r="G6" i="15"/>
  <c r="E3" i="26" l="1"/>
  <c r="D10" i="26" s="1"/>
  <c r="F36" i="1"/>
  <c r="F39" i="1" s="1"/>
  <c r="G40" i="2"/>
  <c r="G39" i="2" s="1"/>
  <c r="F46" i="1"/>
  <c r="F43" i="1"/>
  <c r="F45" i="1"/>
  <c r="G9" i="2"/>
  <c r="I22" i="2"/>
  <c r="F3" i="28"/>
  <c r="G4" i="1"/>
  <c r="F25" i="15"/>
  <c r="F21" i="1" s="1"/>
  <c r="F44" i="1" s="1"/>
  <c r="H6" i="15"/>
  <c r="G25" i="15" l="1"/>
  <c r="G21" i="1" s="1"/>
  <c r="G3" i="28"/>
  <c r="H4" i="1"/>
  <c r="H25" i="15"/>
  <c r="H21" i="1" s="1"/>
  <c r="F12" i="15" l="1"/>
  <c r="O6" i="15" l="1"/>
  <c r="O10" i="15" s="1"/>
  <c r="F10" i="1"/>
  <c r="E11" i="28"/>
  <c r="F16" i="15"/>
  <c r="I3" i="28" l="1"/>
  <c r="E15" i="28"/>
  <c r="E4" i="29" s="1"/>
  <c r="E20" i="26"/>
  <c r="F14" i="1"/>
  <c r="E16" i="28"/>
  <c r="F55" i="15"/>
  <c r="G16" i="2"/>
  <c r="F17" i="15"/>
  <c r="F37" i="1" l="1"/>
  <c r="E4" i="26"/>
  <c r="F52" i="1"/>
  <c r="G44" i="2"/>
  <c r="G43" i="2" s="1"/>
  <c r="F53" i="1"/>
  <c r="F49" i="1"/>
  <c r="F15" i="1"/>
  <c r="F51" i="1"/>
  <c r="E24" i="26"/>
  <c r="E36" i="29"/>
  <c r="E35" i="29"/>
  <c r="E34" i="29"/>
  <c r="E33" i="29"/>
  <c r="E37" i="29"/>
  <c r="E32" i="29"/>
  <c r="E11" i="29"/>
  <c r="G12" i="15"/>
  <c r="H12" i="15"/>
  <c r="H10" i="1" l="1"/>
  <c r="Q6" i="15"/>
  <c r="Q10" i="15" s="1"/>
  <c r="G31" i="15"/>
  <c r="G27" i="1" s="1"/>
  <c r="G11" i="28"/>
  <c r="G15" i="28" s="1"/>
  <c r="G4" i="29" s="1"/>
  <c r="H16" i="15"/>
  <c r="F16" i="1"/>
  <c r="F11" i="28"/>
  <c r="F15" i="28" s="1"/>
  <c r="F4" i="29" s="1"/>
  <c r="F31" i="15"/>
  <c r="F27" i="1" s="1"/>
  <c r="F50" i="1" s="1"/>
  <c r="G10" i="1"/>
  <c r="P6" i="15"/>
  <c r="P10" i="15" s="1"/>
  <c r="G16" i="15"/>
  <c r="E39" i="26"/>
  <c r="E42" i="26"/>
  <c r="E41" i="26"/>
  <c r="E5" i="26"/>
  <c r="F20" i="26" l="1"/>
  <c r="E30" i="26" s="1"/>
  <c r="E40" i="26" s="1"/>
  <c r="G14" i="1"/>
  <c r="G16" i="28"/>
  <c r="G35" i="15"/>
  <c r="G31" i="1" s="1"/>
  <c r="H55" i="15"/>
  <c r="I16" i="2"/>
  <c r="G20" i="26"/>
  <c r="H14" i="1"/>
  <c r="F35" i="15"/>
  <c r="F31" i="1" s="1"/>
  <c r="F54" i="1" s="1"/>
  <c r="F16" i="28"/>
  <c r="G55" i="15"/>
  <c r="H16" i="2"/>
  <c r="E18" i="29"/>
  <c r="E31" i="29" s="1"/>
  <c r="F34" i="29"/>
  <c r="F36" i="29"/>
  <c r="F35" i="29"/>
  <c r="F33" i="29"/>
  <c r="F37" i="29"/>
  <c r="F32" i="29"/>
  <c r="F18" i="29"/>
  <c r="F31" i="29" s="1"/>
  <c r="G34" i="29"/>
  <c r="G35" i="29"/>
  <c r="G36" i="29"/>
  <c r="G33" i="29"/>
  <c r="G37" i="29"/>
  <c r="G32" i="29"/>
  <c r="I12" i="15"/>
  <c r="F30" i="26" l="1"/>
  <c r="G4" i="26"/>
  <c r="H52" i="1"/>
  <c r="H37" i="1"/>
  <c r="H53" i="1"/>
  <c r="I44" i="2"/>
  <c r="I43" i="2" s="1"/>
  <c r="H49" i="1"/>
  <c r="H51" i="1"/>
  <c r="R6" i="15"/>
  <c r="R10" i="15" s="1"/>
  <c r="H31" i="15"/>
  <c r="H27" i="1" s="1"/>
  <c r="H50" i="1" s="1"/>
  <c r="H11" i="28"/>
  <c r="H15" i="28" s="1"/>
  <c r="H4" i="29" s="1"/>
  <c r="I10" i="1"/>
  <c r="I16" i="15"/>
  <c r="G50" i="1"/>
  <c r="G54" i="1"/>
  <c r="G52" i="1"/>
  <c r="G53" i="1"/>
  <c r="G37" i="1"/>
  <c r="F4" i="26"/>
  <c r="E11" i="26" s="1"/>
  <c r="H44" i="2"/>
  <c r="H43" i="2" s="1"/>
  <c r="G49" i="1"/>
  <c r="G51" i="1"/>
  <c r="H35" i="15" l="1"/>
  <c r="H31" i="1" s="1"/>
  <c r="H54" i="1" s="1"/>
  <c r="H16" i="28"/>
  <c r="I55" i="15"/>
  <c r="J16" i="2"/>
  <c r="H20" i="26"/>
  <c r="G30" i="26" s="1"/>
  <c r="I14" i="1"/>
  <c r="G18" i="29"/>
  <c r="G31" i="29" s="1"/>
  <c r="F11" i="26"/>
  <c r="J44" i="2" l="1"/>
  <c r="J43" i="2" s="1"/>
  <c r="I37" i="1"/>
  <c r="H4" i="26"/>
  <c r="G11" i="26" s="1"/>
  <c r="G10" i="30" l="1"/>
  <c r="G46" i="15"/>
  <c r="I10" i="30"/>
  <c r="I46" i="15"/>
  <c r="J7" i="2" l="1"/>
  <c r="J25" i="2" s="1"/>
  <c r="I47" i="15"/>
  <c r="M10" i="30"/>
  <c r="G4" i="30"/>
  <c r="I4" i="30"/>
  <c r="H10" i="30"/>
  <c r="O10" i="30" s="1"/>
  <c r="H46" i="15"/>
  <c r="H7" i="2"/>
  <c r="F63" i="15"/>
  <c r="G47" i="15"/>
  <c r="M4" i="30" l="1"/>
  <c r="E56" i="30" s="1"/>
  <c r="F64" i="15"/>
  <c r="F3" i="29"/>
  <c r="N10" i="30"/>
  <c r="H4" i="30"/>
  <c r="G63" i="15"/>
  <c r="I7" i="2"/>
  <c r="I25" i="2" s="1"/>
  <c r="H47" i="15"/>
  <c r="H64" i="15" s="1"/>
  <c r="H3" i="29"/>
  <c r="H17" i="29" s="1"/>
  <c r="G25" i="2"/>
  <c r="H8" i="2"/>
  <c r="H63" i="15"/>
  <c r="J8" i="2"/>
  <c r="J26" i="2" s="1"/>
  <c r="N4" i="30" l="1"/>
  <c r="O4" i="30"/>
  <c r="J35" i="2"/>
  <c r="J38" i="2" s="1"/>
  <c r="G3" i="29"/>
  <c r="G17" i="29" s="1"/>
  <c r="G64" i="15"/>
  <c r="G26" i="2"/>
  <c r="F53" i="2" s="1"/>
  <c r="G51" i="2"/>
  <c r="H35" i="2"/>
  <c r="H38" i="2" s="1"/>
  <c r="G48" i="2"/>
  <c r="G50" i="2"/>
  <c r="G49" i="2"/>
  <c r="I3" i="30"/>
  <c r="E77" i="30"/>
  <c r="H25" i="2"/>
  <c r="I8" i="2"/>
  <c r="G3" i="30"/>
  <c r="E17" i="29"/>
  <c r="E30" i="29" s="1"/>
  <c r="M3" i="30" l="1"/>
  <c r="E63" i="30" s="1"/>
  <c r="F52" i="2"/>
  <c r="I35" i="2"/>
  <c r="I38" i="2" s="1"/>
  <c r="H51" i="2"/>
  <c r="H26" i="2"/>
  <c r="H48" i="2"/>
  <c r="H50" i="2"/>
  <c r="H49" i="2"/>
  <c r="F17" i="29"/>
  <c r="F30" i="29" s="1"/>
  <c r="H3" i="30"/>
  <c r="G30" i="29"/>
  <c r="I26" i="2"/>
  <c r="N3" i="30" l="1"/>
  <c r="H53" i="2"/>
  <c r="H52" i="2"/>
  <c r="O3" i="30"/>
  <c r="G53" i="2"/>
  <c r="G52" i="2"/>
  <c r="I16" i="30"/>
  <c r="S17" i="15" l="1"/>
  <c r="G71" i="30"/>
  <c r="G72" i="30" s="1"/>
  <c r="I11" i="30"/>
  <c r="P11" i="30" s="1"/>
  <c r="G16" i="30"/>
  <c r="I9" i="15"/>
  <c r="G9" i="15"/>
  <c r="M16" i="30" l="1"/>
  <c r="E71" i="30"/>
  <c r="E72" i="30" s="1"/>
  <c r="G11" i="30"/>
  <c r="G7" i="1"/>
  <c r="F28" i="15"/>
  <c r="F24" i="1" s="1"/>
  <c r="F47" i="1" s="1"/>
  <c r="P9" i="15"/>
  <c r="F6" i="28"/>
  <c r="F7" i="28" s="1"/>
  <c r="G10" i="15"/>
  <c r="H53" i="26"/>
  <c r="S18" i="15"/>
  <c r="H12" i="29" s="1"/>
  <c r="H16" i="30"/>
  <c r="I7" i="1"/>
  <c r="H6" i="28"/>
  <c r="H7" i="28" s="1"/>
  <c r="R9" i="15"/>
  <c r="I10" i="15"/>
  <c r="I23" i="30"/>
  <c r="P23" i="30" s="1"/>
  <c r="E78" i="30" s="1"/>
  <c r="Q17" i="15"/>
  <c r="H26" i="29" l="1"/>
  <c r="F53" i="26"/>
  <c r="P23" i="15"/>
  <c r="Q18" i="15"/>
  <c r="F29" i="15"/>
  <c r="F25" i="1" s="1"/>
  <c r="F48" i="1" s="1"/>
  <c r="F8" i="28"/>
  <c r="G48" i="15"/>
  <c r="G17" i="15"/>
  <c r="F36" i="15" s="1"/>
  <c r="F23" i="26"/>
  <c r="G8" i="1"/>
  <c r="H2" i="29"/>
  <c r="H16" i="29" s="1"/>
  <c r="F2" i="29"/>
  <c r="M11" i="30"/>
  <c r="G23" i="30"/>
  <c r="H9" i="15"/>
  <c r="I48" i="15"/>
  <c r="H8" i="28"/>
  <c r="I17" i="15"/>
  <c r="H23" i="26"/>
  <c r="I8" i="1"/>
  <c r="I49" i="30"/>
  <c r="N16" i="30"/>
  <c r="F71" i="30"/>
  <c r="F72" i="30" s="1"/>
  <c r="H11" i="30"/>
  <c r="O16" i="30"/>
  <c r="R17" i="15"/>
  <c r="P26" i="15" l="1"/>
  <c r="F12" i="29"/>
  <c r="E26" i="29" s="1"/>
  <c r="E38" i="29" s="1"/>
  <c r="I36" i="1"/>
  <c r="I39" i="1" s="1"/>
  <c r="J40" i="2"/>
  <c r="J39" i="2" s="1"/>
  <c r="J9" i="2"/>
  <c r="H3" i="26"/>
  <c r="I15" i="1"/>
  <c r="M23" i="30"/>
  <c r="E57" i="30" s="1"/>
  <c r="G49" i="30"/>
  <c r="E33" i="26"/>
  <c r="E43" i="26" s="1"/>
  <c r="F24" i="26"/>
  <c r="H24" i="26"/>
  <c r="H11" i="29"/>
  <c r="E25" i="32"/>
  <c r="F32" i="1"/>
  <c r="N11" i="30"/>
  <c r="H23" i="30"/>
  <c r="O11" i="30"/>
  <c r="Q11" i="30" s="1"/>
  <c r="G28" i="15"/>
  <c r="G24" i="1" s="1"/>
  <c r="G47" i="1" s="1"/>
  <c r="Q9" i="15"/>
  <c r="G6" i="28"/>
  <c r="G7" i="28" s="1"/>
  <c r="H7" i="1"/>
  <c r="H10" i="15"/>
  <c r="H28" i="15"/>
  <c r="H24" i="1" s="1"/>
  <c r="E16" i="29"/>
  <c r="E29" i="29" s="1"/>
  <c r="F11" i="29"/>
  <c r="G53" i="26"/>
  <c r="Q23" i="15"/>
  <c r="R18" i="15"/>
  <c r="G12" i="29" s="1"/>
  <c r="R23" i="15"/>
  <c r="Q10" i="30"/>
  <c r="G44" i="1"/>
  <c r="G36" i="1"/>
  <c r="G39" i="1" s="1"/>
  <c r="G43" i="1"/>
  <c r="G45" i="1"/>
  <c r="H9" i="2"/>
  <c r="H40" i="2"/>
  <c r="H39" i="2" s="1"/>
  <c r="F3" i="26"/>
  <c r="G46" i="1"/>
  <c r="G15" i="1"/>
  <c r="F26" i="29" l="1"/>
  <c r="F38" i="29" s="1"/>
  <c r="G26" i="29"/>
  <c r="G38" i="29" s="1"/>
  <c r="E25" i="29"/>
  <c r="F59" i="30"/>
  <c r="F60" i="30"/>
  <c r="F58" i="30"/>
  <c r="F61" i="30"/>
  <c r="F56" i="30"/>
  <c r="F63" i="30"/>
  <c r="G16" i="1"/>
  <c r="G23" i="26"/>
  <c r="H8" i="1"/>
  <c r="H47" i="1" s="1"/>
  <c r="F33" i="1"/>
  <c r="M49" i="30"/>
  <c r="E62" i="30" s="1"/>
  <c r="R26" i="15"/>
  <c r="Q26" i="15"/>
  <c r="G2" i="29"/>
  <c r="F42" i="26"/>
  <c r="F41" i="26"/>
  <c r="F39" i="26"/>
  <c r="F40" i="26"/>
  <c r="E34" i="26"/>
  <c r="E44" i="26" s="1"/>
  <c r="H49" i="30"/>
  <c r="N23" i="30"/>
  <c r="F57" i="30" s="1"/>
  <c r="O23" i="30"/>
  <c r="I16" i="1"/>
  <c r="E10" i="26"/>
  <c r="F5" i="26"/>
  <c r="H48" i="15"/>
  <c r="G29" i="15"/>
  <c r="G25" i="1" s="1"/>
  <c r="G48" i="1" s="1"/>
  <c r="G8" i="28"/>
  <c r="H17" i="15"/>
  <c r="H29" i="15"/>
  <c r="H25" i="1" s="1"/>
  <c r="H5" i="26"/>
  <c r="G57" i="30" l="1"/>
  <c r="H57" i="30" s="1"/>
  <c r="G59" i="30"/>
  <c r="H59" i="30" s="1"/>
  <c r="G60" i="30"/>
  <c r="H60" i="30" s="1"/>
  <c r="G58" i="30"/>
  <c r="H58" i="30" s="1"/>
  <c r="G61" i="30"/>
  <c r="H61" i="30" s="1"/>
  <c r="G56" i="30"/>
  <c r="G63" i="30"/>
  <c r="H63" i="30" s="1"/>
  <c r="H48" i="1"/>
  <c r="F16" i="29"/>
  <c r="F29" i="29" s="1"/>
  <c r="G11" i="29"/>
  <c r="G16" i="29"/>
  <c r="G29" i="29" s="1"/>
  <c r="H45" i="1"/>
  <c r="H43" i="1"/>
  <c r="I40" i="2"/>
  <c r="I39" i="2" s="1"/>
  <c r="I9" i="2"/>
  <c r="H36" i="1"/>
  <c r="H39" i="1" s="1"/>
  <c r="G3" i="26"/>
  <c r="H46" i="1"/>
  <c r="H44" i="1"/>
  <c r="H15" i="1"/>
  <c r="N49" i="30"/>
  <c r="F62" i="30" s="1"/>
  <c r="O49" i="30"/>
  <c r="G62" i="30" s="1"/>
  <c r="G36" i="15"/>
  <c r="H36" i="15"/>
  <c r="E12" i="26"/>
  <c r="F33" i="26"/>
  <c r="F43" i="26" s="1"/>
  <c r="G24" i="26"/>
  <c r="G33" i="26"/>
  <c r="H29" i="29" l="1"/>
  <c r="G43" i="26"/>
  <c r="H16" i="1"/>
  <c r="H32" i="1"/>
  <c r="G25" i="32"/>
  <c r="G32" i="1"/>
  <c r="F25" i="32"/>
  <c r="F10" i="26"/>
  <c r="G5" i="26"/>
  <c r="G10" i="26"/>
  <c r="F25" i="29"/>
  <c r="G25" i="29"/>
  <c r="G42" i="26"/>
  <c r="F34" i="26"/>
  <c r="F44" i="26" s="1"/>
  <c r="G39" i="26"/>
  <c r="G41" i="26"/>
  <c r="G40" i="26"/>
  <c r="G34" i="26"/>
  <c r="G44" i="26" s="1"/>
  <c r="G33" i="1" l="1"/>
  <c r="F12" i="26"/>
  <c r="G12" i="26"/>
  <c r="H33" i="1"/>
  <c r="E12" i="15" l="1"/>
  <c r="D11" i="28" l="1"/>
  <c r="D15" i="28" s="1"/>
  <c r="D4" i="29" s="1"/>
  <c r="D31" i="15"/>
  <c r="D27" i="1" s="1"/>
  <c r="D50" i="1" s="1"/>
  <c r="E10" i="1"/>
  <c r="N6" i="15"/>
  <c r="N10" i="15" s="1"/>
  <c r="E16" i="15"/>
  <c r="E31" i="15"/>
  <c r="E27" i="1" s="1"/>
  <c r="H18" i="29" l="1"/>
  <c r="D38" i="29"/>
  <c r="H38" i="29" s="1"/>
  <c r="I10" i="29"/>
  <c r="I8" i="29"/>
  <c r="I9" i="29"/>
  <c r="I6" i="29"/>
  <c r="I4" i="29"/>
  <c r="I7" i="29"/>
  <c r="I5" i="29"/>
  <c r="D20" i="26"/>
  <c r="E14" i="1"/>
  <c r="D16" i="28"/>
  <c r="D35" i="15"/>
  <c r="D31" i="1" s="1"/>
  <c r="D54" i="1" s="1"/>
  <c r="G21" i="15"/>
  <c r="E55" i="15"/>
  <c r="F16" i="2"/>
  <c r="E17" i="15"/>
  <c r="E35" i="15"/>
  <c r="E31" i="1" s="1"/>
  <c r="D36" i="29"/>
  <c r="H36" i="29" s="1"/>
  <c r="D37" i="29"/>
  <c r="H37" i="29" s="1"/>
  <c r="D33" i="29"/>
  <c r="H33" i="29" s="1"/>
  <c r="D35" i="29"/>
  <c r="H35" i="29" s="1"/>
  <c r="C18" i="29"/>
  <c r="C31" i="29" s="1"/>
  <c r="D34" i="29"/>
  <c r="H34" i="29" s="1"/>
  <c r="D32" i="29"/>
  <c r="H32" i="29" s="1"/>
  <c r="D11" i="29"/>
  <c r="H25" i="29" s="1"/>
  <c r="D30" i="29"/>
  <c r="H30" i="29" s="1"/>
  <c r="D18" i="29"/>
  <c r="D31" i="29" s="1"/>
  <c r="H31" i="29" l="1"/>
  <c r="E54" i="1"/>
  <c r="E53" i="1"/>
  <c r="E37" i="1"/>
  <c r="E52" i="1"/>
  <c r="D4" i="26"/>
  <c r="F44" i="2"/>
  <c r="F43" i="2" s="1"/>
  <c r="E49" i="1"/>
  <c r="E15" i="1"/>
  <c r="E16" i="1" s="1"/>
  <c r="E51" i="1"/>
  <c r="C25" i="29"/>
  <c r="D25" i="29"/>
  <c r="E50" i="1"/>
  <c r="D36" i="15"/>
  <c r="E36" i="15"/>
  <c r="C30" i="26"/>
  <c r="C40" i="26" s="1"/>
  <c r="D24" i="26"/>
  <c r="D30" i="26"/>
  <c r="D40" i="26" l="1"/>
  <c r="D25" i="32"/>
  <c r="E32" i="1"/>
  <c r="E33" i="1" s="1"/>
  <c r="D32" i="1"/>
  <c r="D33" i="1" s="1"/>
  <c r="C25" i="32"/>
  <c r="C11" i="26"/>
  <c r="D5" i="26"/>
  <c r="D11" i="26"/>
  <c r="D43" i="26"/>
  <c r="C34" i="26"/>
  <c r="C44" i="26" s="1"/>
  <c r="D42" i="26"/>
  <c r="D39" i="26"/>
  <c r="D41" i="26"/>
  <c r="D34" i="26"/>
  <c r="D44" i="26" s="1"/>
  <c r="C12" i="26" l="1"/>
  <c r="D12" i="26"/>
  <c r="E4" i="30" l="1"/>
  <c r="C70" i="30"/>
  <c r="C72" i="30" s="1"/>
  <c r="L9" i="30"/>
  <c r="K9" i="30"/>
  <c r="K4" i="30" l="1"/>
  <c r="C56" i="30" s="1"/>
  <c r="H56" i="30" s="1"/>
  <c r="P4" i="30"/>
  <c r="E84" i="30" s="1"/>
  <c r="E49" i="30"/>
  <c r="D56" i="30" s="1"/>
  <c r="C84" i="30"/>
  <c r="D84" i="30" s="1"/>
  <c r="F84" i="30" s="1"/>
  <c r="L4" i="30"/>
  <c r="L49" i="30" l="1"/>
  <c r="D62" i="30" s="1"/>
  <c r="D60" i="30"/>
  <c r="D61" i="30"/>
  <c r="D57" i="30"/>
  <c r="D63" i="30"/>
  <c r="P49" i="30"/>
  <c r="C85" i="30"/>
  <c r="G84" i="30" s="1"/>
  <c r="K49" i="30"/>
  <c r="C62" i="30" s="1"/>
  <c r="H62" i="30" s="1"/>
  <c r="E85" i="30" l="1"/>
  <c r="E81" i="30"/>
  <c r="D85" i="30"/>
  <c r="F85" i="30" s="1"/>
  <c r="G82" i="30"/>
  <c r="G79" i="30"/>
  <c r="G83" i="30"/>
  <c r="G80" i="30"/>
  <c r="G78" i="30"/>
  <c r="G77" i="30"/>
  <c r="G85" i="30" l="1"/>
  <c r="L2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Newten Dumanoir</author>
  </authors>
  <commentList>
    <comment ref="K14" authorId="0" shapeId="0" xr:uid="{63E59D06-898C-49AF-A29C-EF84A97A9A25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La branche reçoit dont la montant est +</t>
        </r>
      </text>
    </comment>
    <comment ref="K15" authorId="0" shapeId="0" xr:uid="{359C4AD4-7550-45A4-AFA3-32B6228ED679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La branche reçoit dont la montant est +</t>
        </r>
      </text>
    </comment>
    <comment ref="K16" authorId="0" shapeId="0" xr:uid="{C32DC3DA-E428-4198-9CF3-E35C78622D2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La branche verse jusqu'en 2023 , c'est en </t>
        </r>
        <r>
          <rPr>
            <b/>
            <sz val="9"/>
            <color indexed="81"/>
            <rFont val="Tahoma"/>
            <family val="2"/>
          </rPr>
          <t>charges</t>
        </r>
        <r>
          <rPr>
            <sz val="9"/>
            <color indexed="81"/>
            <rFont val="Tahoma"/>
            <family val="2"/>
          </rPr>
          <t xml:space="preserve"> sont on met en négatif &gt; ligne 54du fichier sous P, onglet Vieillesse
A compter de 2024, elle perçoit, donc c'est en positif ; c'est en produits
&gt; ligne 208 du fichier sous P, onglet Vieillesse</t>
        </r>
      </text>
    </comment>
    <comment ref="E2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Evolution</t>
        </r>
      </text>
    </comment>
    <comment ref="F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Rythme annuel moyen</t>
        </r>
      </text>
    </comment>
    <comment ref="G2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Contribution à l'évolution moyenne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Newten Dumanoir</author>
  </authors>
  <commentList>
    <comment ref="E9" authorId="0" shapeId="0" xr:uid="{F4780D77-7209-4946-97CB-FB2EAA4FA211}">
      <text>
        <r>
          <rPr>
            <b/>
            <sz val="9"/>
            <color indexed="81"/>
            <rFont val="Tahoma"/>
            <charset val="1"/>
          </rPr>
          <t>Newten Dumanoir:</t>
        </r>
        <r>
          <rPr>
            <sz val="9"/>
            <color indexed="81"/>
            <rFont val="Tahoma"/>
            <charset val="1"/>
          </rPr>
          <t xml:space="preserve">
Saisie en dur suite anomalie technique sur  fichier sous P</t>
        </r>
      </text>
    </comment>
    <comment ref="B15" authorId="0" shapeId="0" xr:uid="{379256E9-A122-43FC-9D0C-203B39A1B1AA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à compter de 2020, la branche vieillesse est déficitaire et perçoit une contribution du RG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Newten Dumanoir</author>
  </authors>
  <commentList>
    <comment ref="E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MAIL DE DF DU 6 NOV 
"Pour la retraite SA, la branche est équilibrée (dépenses=produits), cela permet de calculer le transfert"
</t>
        </r>
      </text>
    </comment>
  </commentList>
</comments>
</file>

<file path=xl/sharedStrings.xml><?xml version="1.0" encoding="utf-8"?>
<sst xmlns="http://schemas.openxmlformats.org/spreadsheetml/2006/main" count="711" uniqueCount="304">
  <si>
    <t>Evolution</t>
  </si>
  <si>
    <t>Prévisions</t>
  </si>
  <si>
    <t>En millions d'euros</t>
  </si>
  <si>
    <t>Charges maladie</t>
  </si>
  <si>
    <t>Charges vieillesse</t>
  </si>
  <si>
    <t>Charges famille</t>
  </si>
  <si>
    <t xml:space="preserve">Total charges </t>
  </si>
  <si>
    <t>Produits maladie</t>
  </si>
  <si>
    <t>Produits vieillesse</t>
  </si>
  <si>
    <t>Produits famille</t>
  </si>
  <si>
    <t>Total produits</t>
  </si>
  <si>
    <t>SOLDES</t>
  </si>
  <si>
    <t>Prestations maladie</t>
  </si>
  <si>
    <t>Prestations vieillesse</t>
  </si>
  <si>
    <t>Prestations famille</t>
  </si>
  <si>
    <t xml:space="preserve">Total Prestations </t>
  </si>
  <si>
    <t>Cotisations maladie</t>
  </si>
  <si>
    <t>Cotisations vieillesse</t>
  </si>
  <si>
    <t>Cotisations famille</t>
  </si>
  <si>
    <t>Total Cotisations</t>
  </si>
  <si>
    <t>Total charges</t>
  </si>
  <si>
    <t>Poids dans l'ensemble des charges</t>
  </si>
  <si>
    <t>Poids dans l'ensemble des produits</t>
  </si>
  <si>
    <t>Réalisations</t>
  </si>
  <si>
    <t>Tableau 1</t>
  </si>
  <si>
    <t>Tableau 2</t>
  </si>
  <si>
    <t>(montants en millions d’euros)</t>
  </si>
  <si>
    <t>CHARGES</t>
  </si>
  <si>
    <t>PRODUITS</t>
  </si>
  <si>
    <t>Autres charges</t>
  </si>
  <si>
    <t>Autres produits</t>
  </si>
  <si>
    <t>Bénéficiaires - maladie</t>
  </si>
  <si>
    <t>GLOBAL  SALARIES</t>
  </si>
  <si>
    <t>Charges AT</t>
  </si>
  <si>
    <t>Produits AT</t>
  </si>
  <si>
    <t>Prestations AT</t>
  </si>
  <si>
    <t>Cotisations AT</t>
  </si>
  <si>
    <t>GLOBAL SALARIES</t>
  </si>
  <si>
    <t>Régime des SA – Toutes branches</t>
  </si>
  <si>
    <t>RESULTAT NET SA</t>
  </si>
  <si>
    <t>TOTAL CHARGES MAL-MAT-INV-DEC</t>
  </si>
  <si>
    <t>TOTAL CHARGES AT-MP</t>
  </si>
  <si>
    <t>TOTAL CHARGES FAMILLE</t>
  </si>
  <si>
    <t>TOTAL CHARGES RETRAITE</t>
  </si>
  <si>
    <t>TOTAL CHARGES</t>
  </si>
  <si>
    <t>verif</t>
  </si>
  <si>
    <t>TOTAL PRODUITS MAL-MAT-INV-DEC</t>
  </si>
  <si>
    <t>TOTAL PRODUITS AT-MP</t>
  </si>
  <si>
    <t>TOTAL PRODUITS FAMILLE</t>
  </si>
  <si>
    <t>TOTAL PRODUITS RETRAITE</t>
  </si>
  <si>
    <t>TOTAL PRODUITS</t>
  </si>
  <si>
    <t>TOTAL ITAF MAL-MAT-INV-DEC</t>
  </si>
  <si>
    <t>TOTAL ITAF AT-MP</t>
  </si>
  <si>
    <t>TOTAL ITAF FAMILLE</t>
  </si>
  <si>
    <t>TOTAL ITAF RETRAITE</t>
  </si>
  <si>
    <t>TOTAL ITAF</t>
  </si>
  <si>
    <t>TOTAL COMPENSATION MAL-MAT-INV-DEC</t>
  </si>
  <si>
    <t>TOTAL COMPENSATION AT-MP</t>
  </si>
  <si>
    <t>TOTAL COMPENSATION FAMILLE</t>
  </si>
  <si>
    <t>TOTAL COMPENSATION RETRAITE</t>
  </si>
  <si>
    <t>TOTAL COMPENSATION DEMO</t>
  </si>
  <si>
    <t>TOTAL COT PEC ETAT MAL-MAT-INV-DEC</t>
  </si>
  <si>
    <t>TOTAL COT PEC ETAT AT-MP</t>
  </si>
  <si>
    <t>TOTAL COT PEC ETAT FAMILLE</t>
  </si>
  <si>
    <t>TOTAL COT PEC ETAT RETRAITE</t>
  </si>
  <si>
    <t>TOTAL COT PEC</t>
  </si>
  <si>
    <t>TOTAL CSG MAL-MAT-INV-DEC</t>
  </si>
  <si>
    <t>TOTAL CSG AT-MP</t>
  </si>
  <si>
    <t>TOTAL CSG FAMILLE</t>
  </si>
  <si>
    <t>TOTAL CSG RETRAITE</t>
  </si>
  <si>
    <t>TOTAL CSG</t>
  </si>
  <si>
    <t>Charges</t>
  </si>
  <si>
    <t>Dont prestations légales</t>
  </si>
  <si>
    <t>Produit</t>
  </si>
  <si>
    <t>Dont cotisations sociales</t>
  </si>
  <si>
    <t>Dont compensation démographique</t>
  </si>
  <si>
    <t>Dont contribution généralisée</t>
  </si>
  <si>
    <t>Dont impôts et taxes affectées</t>
  </si>
  <si>
    <t>Charges ATEXA</t>
  </si>
  <si>
    <t>Produits ATEXA</t>
  </si>
  <si>
    <t>PRESTATIONS SOCIALES (yc  prest extra,...)</t>
  </si>
  <si>
    <t>Prestations sociales</t>
  </si>
  <si>
    <t>"Maladie-Maternité-Invalidité-Décès"</t>
  </si>
  <si>
    <t>Prestations sociales "AT-MP"</t>
  </si>
  <si>
    <t>Prestations sociales "Famille"</t>
  </si>
  <si>
    <t>Prestations sociales "Vieillesse-Veuvage"</t>
  </si>
  <si>
    <t>CHARGES TECHNIQUES DIVERSES</t>
  </si>
  <si>
    <t>TOTAL CHARGES TECHNIQUES + DIVERSES</t>
  </si>
  <si>
    <t>CHARGES FINANCIERES</t>
  </si>
  <si>
    <t>CHARGES EXCEPTIONNELLES</t>
  </si>
  <si>
    <t>DOTATIONS AUX PROVISIONS</t>
  </si>
  <si>
    <t>CHARGES DE GESTION COURANTE</t>
  </si>
  <si>
    <t>TOTAL DES CHARGES</t>
  </si>
  <si>
    <t>Total</t>
  </si>
  <si>
    <t>Contribution à la croissance</t>
  </si>
  <si>
    <t>REGIME DES SA - TOUTES BRANCHES 
(en million d'euros)</t>
  </si>
  <si>
    <t>Bénéficiaires de pensions d'invalidité</t>
  </si>
  <si>
    <t>maladie</t>
  </si>
  <si>
    <t>famille</t>
  </si>
  <si>
    <t>retraite</t>
  </si>
  <si>
    <t>Evolution par branche</t>
  </si>
  <si>
    <t>AT</t>
  </si>
  <si>
    <t>Solde par branche</t>
  </si>
  <si>
    <t>Rythme annuel moyen</t>
  </si>
  <si>
    <t>Contribution à la croissance des charges SA</t>
  </si>
  <si>
    <t>Solde maladie</t>
  </si>
  <si>
    <t>Solde AT</t>
  </si>
  <si>
    <t>Solde famille</t>
  </si>
  <si>
    <t>Solde vieillesse</t>
  </si>
  <si>
    <t>Effectifs en moyenne annuelle sauf pour :</t>
  </si>
  <si>
    <t>Les invalides, les actifs cotisants et les familles bénéficiaires</t>
  </si>
  <si>
    <t>Familles bénéficiaires de prestations familiales dans l'année</t>
  </si>
  <si>
    <t>- Personnes protégées en maladie et bénéficiaires d’un avantage retraite : dénombrement en moyenne annuelle </t>
  </si>
  <si>
    <t>- Familles bénéficiaires : dénombrement annuel </t>
  </si>
  <si>
    <t>- Bénéficiaires de pensions d’invalidité : dénombrement au 31 décembre </t>
  </si>
  <si>
    <r>
      <t>- Actifs cotisants vieillesse : dénombrement au 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juillet  </t>
    </r>
  </si>
  <si>
    <t>VERIF CHARGE</t>
  </si>
  <si>
    <t>MALADIE</t>
  </si>
  <si>
    <t>FAMILLE</t>
  </si>
  <si>
    <t>TOTAL</t>
  </si>
  <si>
    <t>Actifs cotisants vieillesse au 1er juillet</t>
  </si>
  <si>
    <t>2021/2020</t>
  </si>
  <si>
    <t>Réalisation 2021</t>
  </si>
  <si>
    <t>&lt;= MAJ avec fichiers sous P</t>
  </si>
  <si>
    <t>TOTAL REPRISES SUR PROV AT-MP</t>
  </si>
  <si>
    <t>TOTAL REPRISES SUR PROV FAMILLE</t>
  </si>
  <si>
    <t>TOTAL REPRISES SUR PROV RETRAITE</t>
  </si>
  <si>
    <t>TOTAL REPRISES SUR PROV</t>
  </si>
  <si>
    <t>TOTAL REPRISES SUR PROV MAL-MAT-INV-DEC</t>
  </si>
  <si>
    <t>Contribution à l'évolution par branche</t>
  </si>
  <si>
    <t>Dont reprises sur provisions</t>
  </si>
  <si>
    <t>Contribution selon le type de charges à l’évolution du montant total des dépenses SA</t>
  </si>
  <si>
    <t>Contribution selon la branche à l’évolution du montant total des dépenses SA</t>
  </si>
  <si>
    <t>Contribution selon la branche à l’évolution du montant total des recettes SA</t>
  </si>
  <si>
    <t>Contribution de chaque branche à l’évolution du montant total des prestations SA</t>
  </si>
  <si>
    <t>Contribution de chaque branche à l’évolution du montant total des cotisations sociales SA</t>
  </si>
  <si>
    <t>(après transferts)</t>
  </si>
  <si>
    <t>Dont cotisations prises en charge par l'Etat</t>
  </si>
  <si>
    <t>TOTAL ALLEG GENERAUX MAL-MAT-INV-DEC</t>
  </si>
  <si>
    <t>TOTAL ALLEG GENERAUX AT-MP</t>
  </si>
  <si>
    <t>TOTAL ALLEG GENERAUX FAMILLE</t>
  </si>
  <si>
    <t>TOTAL ALLEG GENERAUX RETRAITE</t>
  </si>
  <si>
    <t>TOTAL ALLEG GENERAUX</t>
  </si>
  <si>
    <t>Transferts d’équilibrage des soldes venant du Régime Général (RG)
(en millions d’euros</t>
  </si>
  <si>
    <t>Maladie</t>
  </si>
  <si>
    <t>Famille</t>
  </si>
  <si>
    <t xml:space="preserve">TOTAL INTEGRATION RG </t>
  </si>
  <si>
    <t>Retraite</t>
  </si>
  <si>
    <t>REGIME DES SA - TOUTES BRANCHES 
(évolution)</t>
  </si>
  <si>
    <r>
      <t xml:space="preserve">REGIME DES SA - TOUTES BRANCHES - </t>
    </r>
    <r>
      <rPr>
        <b/>
        <sz val="10"/>
        <color rgb="FFFF0000"/>
        <rFont val="Arial"/>
        <family val="2"/>
      </rPr>
      <t>RETRAITE</t>
    </r>
    <r>
      <rPr>
        <b/>
        <sz val="10"/>
        <rFont val="Arial"/>
        <family val="2"/>
      </rPr>
      <t xml:space="preserve">
(en million d'euros)</t>
    </r>
  </si>
  <si>
    <t>2022/2021</t>
  </si>
  <si>
    <t>Bénéficiaires de pensions vieillesse</t>
  </si>
  <si>
    <t>Réalisation 2022</t>
  </si>
  <si>
    <t xml:space="preserve">VIEILLESSE </t>
  </si>
  <si>
    <t>2023/2022</t>
  </si>
  <si>
    <t>2023(p)</t>
  </si>
  <si>
    <t>Total dépenses</t>
  </si>
  <si>
    <t>PRESTATIONS légales</t>
  </si>
  <si>
    <t>CHARGES TECHNIQUES</t>
  </si>
  <si>
    <t>prestations légales</t>
  </si>
  <si>
    <t>PL</t>
  </si>
  <si>
    <t>Graphique 2</t>
  </si>
  <si>
    <t>Graphique 3</t>
  </si>
  <si>
    <t>Tableau 4</t>
  </si>
  <si>
    <t>Graphique 4</t>
  </si>
  <si>
    <t>Graphique 5</t>
  </si>
  <si>
    <t>Tableau 6</t>
  </si>
  <si>
    <t>Contriution ev moy</t>
  </si>
  <si>
    <t>Graphique 6</t>
  </si>
  <si>
    <t>Graphique 7</t>
  </si>
  <si>
    <t>Tableau 8</t>
  </si>
  <si>
    <t>Graphique 9</t>
  </si>
  <si>
    <t>Tableau 9</t>
  </si>
  <si>
    <t>2024(p)</t>
  </si>
  <si>
    <t>2024/2023</t>
  </si>
  <si>
    <t>Tableau 5</t>
  </si>
  <si>
    <t>Tableau 7</t>
  </si>
  <si>
    <t>PRESTATIONS sociales</t>
  </si>
  <si>
    <t>Graphique 1</t>
  </si>
  <si>
    <t xml:space="preserve">Cotisations - Evolution du nombre d’heures de travail par secteur </t>
  </si>
  <si>
    <t>Heures de travail
(en milliers d'heures)</t>
  </si>
  <si>
    <t>Réalisation</t>
  </si>
  <si>
    <t>Production agricole</t>
  </si>
  <si>
    <t>Cdi</t>
  </si>
  <si>
    <t>SOUS TOTAL</t>
  </si>
  <si>
    <t>Transformation</t>
  </si>
  <si>
    <t>Cdd</t>
  </si>
  <si>
    <t>Tertiaire</t>
  </si>
  <si>
    <t>Activités diverses</t>
  </si>
  <si>
    <t>TOTAL HEURES DE TRAVAIL</t>
  </si>
  <si>
    <t xml:space="preserve">Heures de travail </t>
  </si>
  <si>
    <t xml:space="preserve">Rythme annuel moyen </t>
  </si>
  <si>
    <t>Contribution moyenne</t>
  </si>
  <si>
    <t>(en milliers d’heures)</t>
  </si>
  <si>
    <t>Evol 2022</t>
  </si>
  <si>
    <t>Evol 2023</t>
  </si>
  <si>
    <t>Evol 2024</t>
  </si>
  <si>
    <t xml:space="preserve">Cotisations - Evolution du salaire horaire moyen </t>
  </si>
  <si>
    <t>Salaire horaire moyen
(en €)</t>
  </si>
  <si>
    <t>SALAIRE HORAIRE MOYEN</t>
  </si>
  <si>
    <t>Salaire horaire moyen</t>
  </si>
  <si>
    <t>(en €)</t>
  </si>
  <si>
    <t>TOTAL SALAIRE HORAIRE MOYEN</t>
  </si>
  <si>
    <t xml:space="preserve">Cotisations - Evolution de l’assiette des salaires </t>
  </si>
  <si>
    <t>Masse salariale
(en milliers d’euros)</t>
  </si>
  <si>
    <t>TOTAL MASSE SALARIALE</t>
  </si>
  <si>
    <t>Masse salariale</t>
  </si>
  <si>
    <t>(en milliers d'euros)</t>
  </si>
  <si>
    <t>Effectifs</t>
  </si>
  <si>
    <t>TCDC SA (Charges)</t>
  </si>
  <si>
    <t>CHARGES_PRODUITS</t>
  </si>
  <si>
    <t>Prest._cotisa.</t>
  </si>
  <si>
    <t>Index tableaux et graphiques</t>
  </si>
  <si>
    <t>onglet</t>
  </si>
  <si>
    <t>Tableau 3</t>
  </si>
  <si>
    <t>Résultat Net</t>
  </si>
  <si>
    <t>Soldes</t>
  </si>
  <si>
    <t>Tableau 10</t>
  </si>
  <si>
    <t>-</t>
  </si>
  <si>
    <t>Graphique 10</t>
  </si>
  <si>
    <t>2025/2024</t>
  </si>
  <si>
    <t>2025(p)</t>
  </si>
  <si>
    <t>dont CDD</t>
  </si>
  <si>
    <t>dont CDI</t>
  </si>
  <si>
    <t>Evol 2025</t>
  </si>
  <si>
    <t>CDD</t>
  </si>
  <si>
    <t>Prestation légales</t>
  </si>
  <si>
    <r>
      <t>CHARGES TECHNIQUES (</t>
    </r>
    <r>
      <rPr>
        <b/>
        <sz val="9"/>
        <color rgb="FFFF0000"/>
        <rFont val="Arial"/>
        <family val="2"/>
      </rPr>
      <t>yc versements RG</t>
    </r>
    <r>
      <rPr>
        <b/>
        <sz val="9"/>
        <rFont val="Arial"/>
        <family val="2"/>
      </rPr>
      <t>)</t>
    </r>
  </si>
  <si>
    <t>Montants</t>
  </si>
  <si>
    <t>contribution annuelle moyenne</t>
  </si>
  <si>
    <t>Part</t>
  </si>
  <si>
    <t>Contribution à évol. moyenne</t>
  </si>
  <si>
    <t>Maladie - Intégration CNAMTS</t>
  </si>
  <si>
    <t>Retraite - Intégration CNAV</t>
  </si>
  <si>
    <t>Famille - Intégration Cnaf</t>
  </si>
  <si>
    <t>Total intégration RG</t>
  </si>
  <si>
    <t>TableauxNote</t>
  </si>
  <si>
    <t>2026/2025</t>
  </si>
  <si>
    <t>2026(p)</t>
  </si>
  <si>
    <t>Prévision des montants de dépenses totales et de prestations du régime des salariés agricoles de 2022 à 2026</t>
  </si>
  <si>
    <t>Prévision des montants de recettes totales et de cotisations sociales du régime des salariés agricoles de 2022 à 2026</t>
  </si>
  <si>
    <t>Prévisions de résultat net par branche de 2022 à 2026</t>
  </si>
  <si>
    <t>Evol 2026</t>
  </si>
  <si>
    <t>Prestations sociales SAPSA</t>
  </si>
  <si>
    <t>Charges SASPA</t>
  </si>
  <si>
    <t>Produits SASPA</t>
  </si>
  <si>
    <t>Prestations SASPA</t>
  </si>
  <si>
    <t>Cotsations SASPA</t>
  </si>
  <si>
    <t>Solde SASPA</t>
  </si>
  <si>
    <t>TOTAL CJARGES SASPA</t>
  </si>
  <si>
    <t>TOTAL PRODUITS SASPA</t>
  </si>
  <si>
    <t>TOTAL ITAF SASPA</t>
  </si>
  <si>
    <t>TOTAL COMPENSATION  SASPA</t>
  </si>
  <si>
    <t>TOTAL CDG SASPA</t>
  </si>
  <si>
    <t>TOTAL REPRISES SUR PROV SASPA</t>
  </si>
  <si>
    <t>TOTAL ALLEG GENERAUX SASPA</t>
  </si>
  <si>
    <t>SASPA</t>
  </si>
  <si>
    <t>ProduitsSASPA</t>
  </si>
  <si>
    <t>Cotisations SASPA</t>
  </si>
  <si>
    <t>SASPA - Intégration Cnav</t>
  </si>
  <si>
    <t>Proportions</t>
  </si>
  <si>
    <t>Evolutions</t>
  </si>
  <si>
    <t>Graphique 8</t>
  </si>
  <si>
    <t>Dont prestations sociales</t>
  </si>
  <si>
    <t>=&gt; Compléter les données 2020 à 2026</t>
  </si>
  <si>
    <t>tableau 2</t>
  </si>
  <si>
    <t>2027/2026</t>
  </si>
  <si>
    <t>2027(p)</t>
  </si>
  <si>
    <t>Cotisations AT (Hors prise en charge)</t>
  </si>
  <si>
    <t>Solde 2024</t>
  </si>
  <si>
    <r>
      <t xml:space="preserve">Total produits </t>
    </r>
    <r>
      <rPr>
        <sz val="11"/>
        <color rgb="FFFF0000"/>
        <rFont val="Arial"/>
        <family val="2"/>
      </rPr>
      <t>(yc contrib RG)</t>
    </r>
  </si>
  <si>
    <t>Prévision 2023</t>
  </si>
  <si>
    <t>Prévision 2024</t>
  </si>
  <si>
    <t>Prévision 2025</t>
  </si>
  <si>
    <t>Prévision 2026</t>
  </si>
  <si>
    <t>Prévision 2027</t>
  </si>
  <si>
    <t>Prestations sociales "SASPA"</t>
  </si>
  <si>
    <t>Evol 2027</t>
  </si>
  <si>
    <t>=&gt; Compléter les données 2023 à 2027</t>
  </si>
  <si>
    <t>Tode</t>
  </si>
  <si>
    <t xml:space="preserve">Cdd </t>
  </si>
  <si>
    <t>Rythme annuel moyen 2023 -2027</t>
  </si>
  <si>
    <t xml:space="preserve">Cdd  </t>
  </si>
  <si>
    <t>Prévision des montants de dépenses totales et de prestations du régime des salariés agricoles de 2023 à 2027</t>
  </si>
  <si>
    <t>Prévision des montants de recettes totales et de cotisations sociales du régime des salariés agricoles de 2023 à 2027</t>
  </si>
  <si>
    <t>Moyenne</t>
  </si>
  <si>
    <t>Montant transfert (contribution RG)</t>
  </si>
  <si>
    <t>Contribution du RG</t>
  </si>
  <si>
    <t>Prévisions démographiques et financières</t>
  </si>
  <si>
    <t>du régime des salariés agricoles</t>
  </si>
  <si>
    <t xml:space="preserve"> </t>
  </si>
  <si>
    <t>Direction des Statistiques, des Etudes et des Fonds</t>
  </si>
  <si>
    <r>
      <t>Directrice de la publication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: Nadia JOUBERT</t>
    </r>
  </si>
  <si>
    <t>joubert.nadia@ccmsa.msa.fr</t>
  </si>
  <si>
    <t>Département Synthèse</t>
  </si>
  <si>
    <t>Responsable : David FOUCAUD</t>
  </si>
  <si>
    <t>foucaud.david@ccmsa.msa.fr</t>
  </si>
  <si>
    <t>Service Financement et gestion du risque</t>
  </si>
  <si>
    <t>Yannick SEVESTRE</t>
  </si>
  <si>
    <t>sevestre.yannick@ccmsa.msa.fr</t>
  </si>
  <si>
    <t>Auteure : Newten DUMANOIR</t>
  </si>
  <si>
    <t>dumanoir.newten@ccmsa.msa.fr</t>
  </si>
  <si>
    <t>Mars 2024</t>
  </si>
  <si>
    <t>Période 2023 - 2027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</si>
</sst>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#,##0.0"/>
    <numFmt numFmtId="166" formatCode="0.0%"/>
    <numFmt numFmtId="167" formatCode="#,##0.000"/>
    <numFmt numFmtId="168" formatCode="0.0"/>
    <numFmt numFmtId="169" formatCode="\+0.0%;\-0.0%;General"/>
    <numFmt numFmtId="170" formatCode="#,##0.0_ ;\-#,##0.0\ "/>
    <numFmt numFmtId="171" formatCode="\+0.0%;\-0.0%"/>
    <numFmt numFmtId="172" formatCode="_-* #,##0\ _€_-;\-* #,##0\ _€_-;_-* &quot;-&quot;??\ _€_-;_-@_-"/>
    <numFmt numFmtId="173" formatCode="\+0.0;\-0.0"/>
    <numFmt numFmtId="174" formatCode="_-* #,##0.0\ _€_-;\-* #,##0.0\ _€_-;_-* &quot;-&quot;??\ _€_-;_-@_-"/>
    <numFmt numFmtId="175" formatCode="0.0_ ;\-0.0\ "/>
  </numFmts>
  <fonts count="10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i/>
      <sz val="8"/>
      <color rgb="FFCC0099"/>
      <name val="Arial"/>
      <family val="2"/>
    </font>
    <font>
      <vertAlign val="superscript"/>
      <sz val="8"/>
      <name val="Arial"/>
      <family val="2"/>
    </font>
    <font>
      <b/>
      <i/>
      <sz val="8"/>
      <color rgb="FFCC0099"/>
      <name val="Arial"/>
      <family val="2"/>
    </font>
    <font>
      <sz val="10"/>
      <color rgb="FFD60093"/>
      <name val="Arial"/>
      <family val="2"/>
    </font>
    <font>
      <b/>
      <sz val="10"/>
      <color rgb="FFD60093"/>
      <name val="Arial"/>
      <family val="2"/>
    </font>
    <font>
      <b/>
      <u/>
      <sz val="9"/>
      <color rgb="FF365F91"/>
      <name val="Arial"/>
      <family val="2"/>
    </font>
    <font>
      <u/>
      <sz val="9"/>
      <color rgb="FF376092"/>
      <name val="Arial"/>
      <family val="2"/>
    </font>
    <font>
      <b/>
      <sz val="8"/>
      <color theme="4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rgb="FF92D050"/>
      <name val="Arial"/>
      <family val="2"/>
    </font>
    <font>
      <sz val="10"/>
      <color theme="7"/>
      <name val="Arial"/>
      <family val="2"/>
    </font>
    <font>
      <b/>
      <sz val="10"/>
      <color theme="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7030A0"/>
      <name val="Arial"/>
      <family val="2"/>
    </font>
    <font>
      <sz val="10"/>
      <name val="Arial"/>
      <family val="2"/>
    </font>
    <font>
      <i/>
      <sz val="10"/>
      <color rgb="FF0070C0"/>
      <name val="Arial"/>
      <family val="2"/>
    </font>
    <font>
      <b/>
      <u/>
      <sz val="10"/>
      <color rgb="FF365F91"/>
      <name val="Arial"/>
      <family val="2"/>
    </font>
    <font>
      <b/>
      <u/>
      <sz val="8"/>
      <color rgb="FF365F91"/>
      <name val="Arial"/>
      <family val="2"/>
    </font>
    <font>
      <sz val="9"/>
      <color theme="4" tint="-0.249977111117893"/>
      <name val="Arial"/>
      <family val="2"/>
    </font>
    <font>
      <b/>
      <sz val="8"/>
      <color theme="0" tint="-0.14999847407452621"/>
      <name val="Arial"/>
      <family val="2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color rgb="FF365F91"/>
      <name val="Arial"/>
      <family val="2"/>
    </font>
    <font>
      <sz val="9"/>
      <color rgb="FF000000"/>
      <name val="Arial"/>
      <family val="2"/>
    </font>
    <font>
      <i/>
      <sz val="8"/>
      <color rgb="FF365F91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rgb="FF00B050"/>
      <name val="Arial"/>
      <family val="2"/>
    </font>
    <font>
      <b/>
      <sz val="9"/>
      <color rgb="FFFF0000"/>
      <name val="Arial"/>
      <family val="2"/>
    </font>
    <font>
      <b/>
      <i/>
      <sz val="10"/>
      <color theme="0"/>
      <name val="Arial"/>
      <family val="2"/>
    </font>
    <font>
      <sz val="10"/>
      <color theme="3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i/>
      <sz val="8"/>
      <color rgb="FF7030A0"/>
      <name val="Arial"/>
      <family val="2"/>
    </font>
    <font>
      <sz val="8"/>
      <color theme="1"/>
      <name val="Arial"/>
      <family val="2"/>
    </font>
    <font>
      <sz val="10"/>
      <color rgb="FFFFFF00"/>
      <name val="Arial"/>
      <family val="2"/>
    </font>
    <font>
      <b/>
      <i/>
      <sz val="8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2"/>
      <color rgb="FF0070C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/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thick">
        <color rgb="FF808080"/>
      </left>
      <right/>
      <top style="thick">
        <color rgb="FF808080"/>
      </top>
      <bottom style="medium">
        <color rgb="FF808080"/>
      </bottom>
      <diagonal/>
    </border>
    <border>
      <left/>
      <right/>
      <top style="thick">
        <color rgb="FF808080"/>
      </top>
      <bottom style="medium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thick">
        <color rgb="FF808080"/>
      </right>
      <top style="medium">
        <color rgb="FF808080"/>
      </top>
      <bottom/>
      <diagonal/>
    </border>
    <border>
      <left/>
      <right style="thick">
        <color rgb="FF808080"/>
      </right>
      <top style="medium">
        <color rgb="FF808080"/>
      </top>
      <bottom/>
      <diagonal/>
    </border>
    <border>
      <left/>
      <right style="thick">
        <color rgb="FF808080"/>
      </right>
      <top/>
      <bottom/>
      <diagonal/>
    </border>
    <border>
      <left style="medium">
        <color rgb="FF808080"/>
      </left>
      <right style="thick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thick">
        <color rgb="FF808080"/>
      </right>
      <top/>
      <bottom style="medium">
        <color rgb="FF808080"/>
      </bottom>
      <diagonal/>
    </border>
    <border>
      <left style="thick">
        <color rgb="FF808080"/>
      </left>
      <right style="thick">
        <color rgb="FF808080"/>
      </right>
      <top style="dotted">
        <color rgb="FF808080"/>
      </top>
      <bottom style="medium">
        <color rgb="FF808080"/>
      </bottom>
      <diagonal/>
    </border>
    <border>
      <left/>
      <right style="thick">
        <color rgb="FF808080"/>
      </right>
      <top style="dotted">
        <color rgb="FF808080"/>
      </top>
      <bottom style="medium">
        <color rgb="FF808080"/>
      </bottom>
      <diagonal/>
    </border>
    <border>
      <left/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365F91"/>
      </left>
      <right/>
      <top style="thick">
        <color rgb="FF365F91"/>
      </top>
      <bottom/>
      <diagonal/>
    </border>
    <border>
      <left/>
      <right style="thick">
        <color rgb="FF365F91"/>
      </right>
      <top style="thick">
        <color rgb="FF365F91"/>
      </top>
      <bottom/>
      <diagonal/>
    </border>
    <border>
      <left style="thick">
        <color rgb="FF365F91"/>
      </left>
      <right/>
      <top style="thick">
        <color rgb="FF365F91"/>
      </top>
      <bottom style="thick">
        <color rgb="FF365F91"/>
      </bottom>
      <diagonal/>
    </border>
    <border>
      <left/>
      <right style="thick">
        <color rgb="FF365F91"/>
      </right>
      <top style="thick">
        <color rgb="FF365F91"/>
      </top>
      <bottom style="thick">
        <color rgb="FF365F91"/>
      </bottom>
      <diagonal/>
    </border>
    <border>
      <left style="thick">
        <color rgb="FF365F91"/>
      </left>
      <right style="thick">
        <color rgb="FF365F91"/>
      </right>
      <top style="thick">
        <color rgb="FF365F91"/>
      </top>
      <bottom/>
      <diagonal/>
    </border>
    <border>
      <left style="thick">
        <color rgb="FF365F91"/>
      </left>
      <right/>
      <top/>
      <bottom style="medium">
        <color rgb="FF808080"/>
      </bottom>
      <diagonal/>
    </border>
    <border>
      <left/>
      <right style="thick">
        <color rgb="FF365F91"/>
      </right>
      <top/>
      <bottom style="medium">
        <color rgb="FF808080"/>
      </bottom>
      <diagonal/>
    </border>
    <border>
      <left style="thick">
        <color rgb="FF365F91"/>
      </left>
      <right/>
      <top style="thick">
        <color rgb="FF365F91"/>
      </top>
      <bottom style="medium">
        <color rgb="FF808080"/>
      </bottom>
      <diagonal/>
    </border>
    <border>
      <left style="thick">
        <color theme="0" tint="-0.34998626667073579"/>
      </left>
      <right style="thick">
        <color rgb="FF365F91"/>
      </right>
      <top style="thick">
        <color rgb="FF365F91"/>
      </top>
      <bottom style="medium">
        <color rgb="FF808080"/>
      </bottom>
      <diagonal/>
    </border>
    <border>
      <left style="thick">
        <color rgb="FF365F91"/>
      </left>
      <right style="thick">
        <color rgb="FF365F91"/>
      </right>
      <top style="thick">
        <color rgb="FF365F91"/>
      </top>
      <bottom style="medium">
        <color rgb="FF808080"/>
      </bottom>
      <diagonal/>
    </border>
    <border>
      <left style="thick">
        <color rgb="FF365F91"/>
      </left>
      <right style="thick">
        <color rgb="FF365F91"/>
      </right>
      <top/>
      <bottom style="medium">
        <color rgb="FF808080"/>
      </bottom>
      <diagonal/>
    </border>
    <border>
      <left style="thick">
        <color rgb="FF365F91"/>
      </left>
      <right style="medium">
        <color rgb="FF808080"/>
      </right>
      <top style="medium">
        <color rgb="FF808080"/>
      </top>
      <bottom/>
      <diagonal/>
    </border>
    <border>
      <left/>
      <right style="thick">
        <color rgb="FF365F91"/>
      </right>
      <top/>
      <bottom/>
      <diagonal/>
    </border>
    <border>
      <left style="thick">
        <color rgb="FF365F91"/>
      </left>
      <right style="thick">
        <color rgb="FF365F91"/>
      </right>
      <top/>
      <bottom/>
      <diagonal/>
    </border>
    <border>
      <left style="thick">
        <color rgb="FF365F91"/>
      </left>
      <right style="medium">
        <color rgb="FF808080"/>
      </right>
      <top/>
      <bottom/>
      <diagonal/>
    </border>
    <border>
      <left style="thick">
        <color rgb="FF365F91"/>
      </left>
      <right style="medium">
        <color rgb="FF808080"/>
      </right>
      <top/>
      <bottom style="medium">
        <color rgb="FF808080"/>
      </bottom>
      <diagonal/>
    </border>
    <border>
      <left style="thick">
        <color rgb="FF365F91"/>
      </left>
      <right style="thick">
        <color rgb="FF365F91"/>
      </right>
      <top style="medium">
        <color theme="0" tint="-0.34998626667073579"/>
      </top>
      <bottom style="medium">
        <color rgb="FF808080"/>
      </bottom>
      <diagonal/>
    </border>
    <border>
      <left style="thick">
        <color rgb="FF365F91"/>
      </left>
      <right style="medium">
        <color rgb="FF808080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ck">
        <color rgb="FF365F91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rgb="FF365F91"/>
      </left>
      <right style="thick">
        <color rgb="FF365F91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 style="dashed">
        <color rgb="FF808080"/>
      </bottom>
      <diagonal/>
    </border>
    <border>
      <left/>
      <right style="thick">
        <color rgb="FF808080"/>
      </right>
      <top/>
      <bottom style="dashed">
        <color rgb="FF808080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365F91"/>
      </top>
      <bottom/>
      <diagonal/>
    </border>
    <border>
      <left style="thick">
        <color theme="0" tint="-0.34998626667073579"/>
      </left>
      <right style="thick">
        <color rgb="FF365F91"/>
      </right>
      <top style="medium">
        <color indexed="64"/>
      </top>
      <bottom/>
      <diagonal/>
    </border>
    <border>
      <left style="thick">
        <color theme="0" tint="-0.34998626667073579"/>
      </left>
      <right/>
      <top style="medium">
        <color indexed="64"/>
      </top>
      <bottom/>
      <diagonal/>
    </border>
    <border>
      <left style="thick">
        <color theme="0" tint="-0.34998626667073579"/>
      </left>
      <right style="thick">
        <color rgb="FF365F91"/>
      </right>
      <top/>
      <bottom style="medium">
        <color indexed="64"/>
      </bottom>
      <diagonal/>
    </border>
    <border>
      <left style="thick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365F91"/>
      </right>
      <top style="medium">
        <color indexed="64"/>
      </top>
      <bottom/>
      <diagonal/>
    </border>
    <border>
      <left style="thick">
        <color rgb="FF365F91"/>
      </left>
      <right style="thick">
        <color rgb="FF365F91"/>
      </right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/>
      <diagonal/>
    </border>
    <border>
      <left style="thick">
        <color rgb="FF365F91"/>
      </left>
      <right style="medium">
        <color indexed="64"/>
      </right>
      <top style="medium">
        <color indexed="64"/>
      </top>
      <bottom/>
      <diagonal/>
    </border>
    <border>
      <left style="thick">
        <color rgb="FF365F91"/>
      </left>
      <right style="thick">
        <color rgb="FF365F91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ck">
        <color rgb="FF365F91"/>
      </right>
      <top/>
      <bottom style="medium">
        <color indexed="64"/>
      </bottom>
      <diagonal/>
    </border>
    <border>
      <left style="thick">
        <color rgb="FF365F9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rgb="FF808080"/>
      </right>
      <top style="medium">
        <color indexed="64"/>
      </top>
      <bottom style="medium">
        <color rgb="FF808080"/>
      </bottom>
      <diagonal/>
    </border>
    <border>
      <left style="thick">
        <color rgb="FF808080"/>
      </left>
      <right/>
      <top style="medium">
        <color indexed="64"/>
      </top>
      <bottom style="medium">
        <color rgb="FF808080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808080"/>
      </bottom>
      <diagonal/>
    </border>
    <border>
      <left style="medium">
        <color indexed="64"/>
      </left>
      <right style="thick">
        <color rgb="FF808080"/>
      </right>
      <top style="medium">
        <color rgb="FF808080"/>
      </top>
      <bottom/>
      <diagonal/>
    </border>
    <border>
      <left style="medium">
        <color indexed="64"/>
      </left>
      <right style="thick">
        <color rgb="FF808080"/>
      </right>
      <top/>
      <bottom/>
      <diagonal/>
    </border>
    <border>
      <left style="medium">
        <color indexed="64"/>
      </left>
      <right style="thick">
        <color rgb="FF808080"/>
      </right>
      <top/>
      <bottom style="medium">
        <color rgb="FF808080"/>
      </bottom>
      <diagonal/>
    </border>
    <border>
      <left style="thick">
        <color rgb="FF808080"/>
      </left>
      <right style="thick">
        <color rgb="FF808080"/>
      </right>
      <top style="dotted">
        <color rgb="FF808080"/>
      </top>
      <bottom/>
      <diagonal/>
    </border>
    <border>
      <left/>
      <right style="thick">
        <color rgb="FF808080"/>
      </right>
      <top style="dotted">
        <color rgb="FF808080"/>
      </top>
      <bottom/>
      <diagonal/>
    </border>
    <border>
      <left style="thick">
        <color rgb="FF365F91"/>
      </left>
      <right/>
      <top style="medium">
        <color rgb="FF808080"/>
      </top>
      <bottom/>
      <diagonal/>
    </border>
    <border>
      <left/>
      <right style="thick">
        <color rgb="FF365F91"/>
      </right>
      <top style="medium">
        <color rgb="FF808080"/>
      </top>
      <bottom/>
      <diagonal/>
    </border>
    <border>
      <left style="thin">
        <color indexed="64"/>
      </left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thick">
        <color rgb="FF808080"/>
      </right>
      <top style="medium">
        <color rgb="FF808080"/>
      </top>
      <bottom style="medium">
        <color rgb="FF808080"/>
      </bottom>
      <diagonal/>
    </border>
    <border>
      <left style="thick">
        <color rgb="FF365F91"/>
      </left>
      <right/>
      <top style="medium">
        <color rgb="FF808080"/>
      </top>
      <bottom style="medium">
        <color theme="0" tint="-0.499984740745262"/>
      </bottom>
      <diagonal/>
    </border>
    <border>
      <left/>
      <right style="thick">
        <color rgb="FF365F91"/>
      </right>
      <top style="medium">
        <color rgb="FF808080"/>
      </top>
      <bottom style="medium">
        <color theme="0" tint="-0.499984740745262"/>
      </bottom>
      <diagonal/>
    </border>
    <border>
      <left style="thick">
        <color rgb="FF365F91"/>
      </left>
      <right style="thick">
        <color rgb="FF365F91"/>
      </right>
      <top/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theme="0" tint="-0.499984740745262"/>
      </bottom>
      <diagonal/>
    </border>
    <border>
      <left/>
      <right style="thick">
        <color rgb="FF365F91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rgb="FF808080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rgb="FF365F91"/>
      </left>
      <right/>
      <top style="medium">
        <color rgb="FF808080"/>
      </top>
      <bottom style="medium">
        <color indexed="64"/>
      </bottom>
      <diagonal/>
    </border>
    <border>
      <left/>
      <right style="thick">
        <color rgb="FF365F91"/>
      </right>
      <top style="medium">
        <color rgb="FF808080"/>
      </top>
      <bottom style="medium">
        <color indexed="64"/>
      </bottom>
      <diagonal/>
    </border>
    <border>
      <left style="thick">
        <color rgb="FF365F91"/>
      </left>
      <right style="thick">
        <color rgb="FF365F91"/>
      </right>
      <top style="medium">
        <color rgb="FF808080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0" borderId="0" applyNumberFormat="0" applyFill="0" applyBorder="0" applyAlignment="0" applyProtection="0"/>
  </cellStyleXfs>
  <cellXfs count="6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5" fillId="0" borderId="0" xfId="0" applyFont="1"/>
    <xf numFmtId="0" fontId="2" fillId="0" borderId="13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9" fontId="2" fillId="0" borderId="0" xfId="0" applyNumberFormat="1" applyFont="1"/>
    <xf numFmtId="9" fontId="3" fillId="0" borderId="0" xfId="0" applyNumberFormat="1" applyFont="1"/>
    <xf numFmtId="0" fontId="3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9" fontId="6" fillId="2" borderId="20" xfId="1" applyFont="1" applyFill="1" applyBorder="1" applyAlignment="1">
      <alignment horizontal="right" vertical="center"/>
    </xf>
    <xf numFmtId="0" fontId="6" fillId="0" borderId="0" xfId="0" applyFont="1"/>
    <xf numFmtId="165" fontId="5" fillId="0" borderId="0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right" vertical="center"/>
    </xf>
    <xf numFmtId="166" fontId="8" fillId="2" borderId="13" xfId="1" applyNumberFormat="1" applyFont="1" applyFill="1" applyBorder="1"/>
    <xf numFmtId="0" fontId="2" fillId="3" borderId="13" xfId="0" applyFont="1" applyFill="1" applyBorder="1" applyAlignment="1">
      <alignment horizontal="center" vertical="center"/>
    </xf>
    <xf numFmtId="167" fontId="2" fillId="2" borderId="21" xfId="0" applyNumberFormat="1" applyFont="1" applyFill="1" applyBorder="1" applyAlignment="1">
      <alignment vertical="center"/>
    </xf>
    <xf numFmtId="9" fontId="6" fillId="2" borderId="21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/>
    <xf numFmtId="166" fontId="2" fillId="0" borderId="21" xfId="0" applyNumberFormat="1" applyFont="1" applyBorder="1" applyAlignment="1">
      <alignment horizontal="right"/>
    </xf>
    <xf numFmtId="166" fontId="2" fillId="2" borderId="21" xfId="0" applyNumberFormat="1" applyFont="1" applyFill="1" applyBorder="1" applyAlignment="1">
      <alignment horizontal="right"/>
    </xf>
    <xf numFmtId="166" fontId="5" fillId="2" borderId="21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 vertical="center"/>
    </xf>
    <xf numFmtId="165" fontId="2" fillId="2" borderId="20" xfId="0" applyNumberFormat="1" applyFont="1" applyFill="1" applyBorder="1" applyAlignment="1">
      <alignment horizontal="right" vertical="center"/>
    </xf>
    <xf numFmtId="165" fontId="5" fillId="2" borderId="21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165" fontId="2" fillId="0" borderId="21" xfId="0" applyNumberFormat="1" applyFont="1" applyFill="1" applyBorder="1" applyAlignment="1">
      <alignment horizontal="right" vertical="center"/>
    </xf>
    <xf numFmtId="165" fontId="2" fillId="2" borderId="21" xfId="0" applyNumberFormat="1" applyFont="1" applyFill="1" applyBorder="1" applyAlignment="1">
      <alignment horizontal="right" vertic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10" fillId="0" borderId="28" xfId="0" applyFont="1" applyBorder="1"/>
    <xf numFmtId="0" fontId="10" fillId="0" borderId="28" xfId="0" applyFont="1" applyBorder="1" applyAlignment="1">
      <alignment wrapText="1"/>
    </xf>
    <xf numFmtId="0" fontId="11" fillId="4" borderId="28" xfId="0" applyFont="1" applyFill="1" applyBorder="1"/>
    <xf numFmtId="165" fontId="11" fillId="4" borderId="29" xfId="0" applyNumberFormat="1" applyFont="1" applyFill="1" applyBorder="1" applyAlignment="1">
      <alignment horizontal="right" wrapText="1" indent="1"/>
    </xf>
    <xf numFmtId="165" fontId="10" fillId="0" borderId="29" xfId="0" applyNumberFormat="1" applyFont="1" applyBorder="1"/>
    <xf numFmtId="165" fontId="10" fillId="0" borderId="29" xfId="0" applyNumberFormat="1" applyFont="1" applyBorder="1" applyAlignment="1">
      <alignment wrapText="1"/>
    </xf>
    <xf numFmtId="166" fontId="10" fillId="0" borderId="29" xfId="0" applyNumberFormat="1" applyFont="1" applyBorder="1" applyAlignment="1">
      <alignment horizontal="right" wrapText="1" indent="1"/>
    </xf>
    <xf numFmtId="166" fontId="9" fillId="5" borderId="29" xfId="0" applyNumberFormat="1" applyFont="1" applyFill="1" applyBorder="1" applyAlignment="1">
      <alignment horizontal="right" wrapText="1" indent="1"/>
    </xf>
    <xf numFmtId="166" fontId="2" fillId="0" borderId="0" xfId="0" applyNumberFormat="1" applyFont="1"/>
    <xf numFmtId="0" fontId="12" fillId="0" borderId="28" xfId="0" applyFont="1" applyBorder="1"/>
    <xf numFmtId="0" fontId="12" fillId="0" borderId="28" xfId="0" applyFont="1" applyBorder="1" applyAlignment="1">
      <alignment wrapText="1"/>
    </xf>
    <xf numFmtId="166" fontId="3" fillId="0" borderId="0" xfId="0" applyNumberFormat="1" applyFont="1"/>
    <xf numFmtId="0" fontId="13" fillId="0" borderId="0" xfId="0" applyFont="1"/>
    <xf numFmtId="0" fontId="9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9" fillId="6" borderId="21" xfId="0" applyNumberFormat="1" applyFont="1" applyFill="1" applyBorder="1" applyAlignment="1">
      <alignment horizontal="center" vertical="center"/>
    </xf>
    <xf numFmtId="0" fontId="26" fillId="6" borderId="21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0" fillId="0" borderId="32" xfId="0" applyFont="1" applyFill="1" applyBorder="1"/>
    <xf numFmtId="0" fontId="8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8" fillId="7" borderId="21" xfId="0" applyFont="1" applyFill="1" applyBorder="1" applyAlignment="1">
      <alignment vertical="center" wrapText="1"/>
    </xf>
    <xf numFmtId="166" fontId="0" fillId="0" borderId="0" xfId="0" applyNumberFormat="1"/>
    <xf numFmtId="0" fontId="8" fillId="0" borderId="21" xfId="0" applyFont="1" applyBorder="1"/>
    <xf numFmtId="165" fontId="8" fillId="0" borderId="21" xfId="0" applyNumberFormat="1" applyFont="1" applyBorder="1"/>
    <xf numFmtId="0" fontId="4" fillId="0" borderId="21" xfId="0" applyFont="1" applyBorder="1" applyAlignment="1">
      <alignment horizontal="left" indent="2"/>
    </xf>
    <xf numFmtId="165" fontId="4" fillId="0" borderId="21" xfId="0" applyNumberFormat="1" applyFont="1" applyBorder="1"/>
    <xf numFmtId="0" fontId="8" fillId="0" borderId="21" xfId="0" applyFont="1" applyBorder="1" applyAlignment="1">
      <alignment horizontal="left"/>
    </xf>
    <xf numFmtId="0" fontId="5" fillId="2" borderId="21" xfId="0" applyFont="1" applyFill="1" applyBorder="1" applyAlignment="1">
      <alignment vertical="center"/>
    </xf>
    <xf numFmtId="165" fontId="27" fillId="0" borderId="21" xfId="0" applyNumberFormat="1" applyFont="1" applyFill="1" applyBorder="1" applyAlignment="1">
      <alignment horizontal="center"/>
    </xf>
    <xf numFmtId="0" fontId="9" fillId="7" borderId="32" xfId="0" applyFont="1" applyFill="1" applyBorder="1"/>
    <xf numFmtId="165" fontId="9" fillId="7" borderId="21" xfId="0" applyNumberFormat="1" applyFont="1" applyFill="1" applyBorder="1"/>
    <xf numFmtId="166" fontId="28" fillId="7" borderId="21" xfId="0" applyNumberFormat="1" applyFont="1" applyFill="1" applyBorder="1" applyAlignment="1">
      <alignment horizontal="center"/>
    </xf>
    <xf numFmtId="0" fontId="9" fillId="0" borderId="32" xfId="0" applyFont="1" applyFill="1" applyBorder="1"/>
    <xf numFmtId="165" fontId="0" fillId="0" borderId="21" xfId="0" applyNumberFormat="1" applyFill="1" applyBorder="1"/>
    <xf numFmtId="166" fontId="28" fillId="0" borderId="21" xfId="0" applyNumberFormat="1" applyFont="1" applyFill="1" applyBorder="1" applyAlignment="1">
      <alignment horizontal="center"/>
    </xf>
    <xf numFmtId="166" fontId="12" fillId="0" borderId="21" xfId="0" applyNumberFormat="1" applyFont="1" applyFill="1" applyBorder="1" applyAlignment="1">
      <alignment horizontal="center"/>
    </xf>
    <xf numFmtId="168" fontId="9" fillId="7" borderId="21" xfId="0" applyNumberFormat="1" applyFont="1" applyFill="1" applyBorder="1"/>
    <xf numFmtId="168" fontId="10" fillId="0" borderId="21" xfId="0" applyNumberFormat="1" applyFont="1" applyFill="1" applyBorder="1"/>
    <xf numFmtId="10" fontId="10" fillId="0" borderId="21" xfId="0" applyNumberFormat="1" applyFont="1" applyFill="1" applyBorder="1"/>
    <xf numFmtId="168" fontId="9" fillId="0" borderId="21" xfId="0" applyNumberFormat="1" applyFont="1" applyFill="1" applyBorder="1"/>
    <xf numFmtId="0" fontId="9" fillId="5" borderId="21" xfId="0" applyFont="1" applyFill="1" applyBorder="1"/>
    <xf numFmtId="165" fontId="9" fillId="5" borderId="21" xfId="0" applyNumberFormat="1" applyFont="1" applyFill="1" applyBorder="1"/>
    <xf numFmtId="166" fontId="28" fillId="5" borderId="21" xfId="0" applyNumberFormat="1" applyFont="1" applyFill="1" applyBorder="1" applyAlignment="1">
      <alignment horizontal="center"/>
    </xf>
    <xf numFmtId="0" fontId="0" fillId="0" borderId="21" xfId="0" applyBorder="1"/>
    <xf numFmtId="0" fontId="9" fillId="7" borderId="21" xfId="0" applyFont="1" applyFill="1" applyBorder="1"/>
    <xf numFmtId="168" fontId="0" fillId="0" borderId="21" xfId="0" applyNumberFormat="1" applyBorder="1"/>
    <xf numFmtId="168" fontId="8" fillId="0" borderId="21" xfId="0" applyNumberFormat="1" applyFont="1" applyBorder="1"/>
    <xf numFmtId="168" fontId="0" fillId="7" borderId="0" xfId="0" applyNumberFormat="1" applyFill="1"/>
    <xf numFmtId="165" fontId="16" fillId="0" borderId="0" xfId="0" applyNumberFormat="1" applyFont="1"/>
    <xf numFmtId="165" fontId="14" fillId="0" borderId="0" xfId="0" applyNumberFormat="1" applyFont="1"/>
    <xf numFmtId="165" fontId="15" fillId="0" borderId="0" xfId="0" applyNumberFormat="1" applyFont="1"/>
    <xf numFmtId="165" fontId="0" fillId="0" borderId="0" xfId="0" applyNumberFormat="1"/>
    <xf numFmtId="165" fontId="17" fillId="0" borderId="0" xfId="0" applyNumberFormat="1" applyFont="1"/>
    <xf numFmtId="165" fontId="19" fillId="0" borderId="0" xfId="0" applyNumberFormat="1" applyFont="1"/>
    <xf numFmtId="165" fontId="20" fillId="0" borderId="0" xfId="0" applyNumberFormat="1" applyFont="1"/>
    <xf numFmtId="165" fontId="21" fillId="0" borderId="0" xfId="0" applyNumberFormat="1" applyFont="1"/>
    <xf numFmtId="165" fontId="22" fillId="0" borderId="0" xfId="0" applyNumberFormat="1" applyFont="1"/>
    <xf numFmtId="165" fontId="23" fillId="0" borderId="0" xfId="0" applyNumberFormat="1" applyFont="1"/>
    <xf numFmtId="165" fontId="25" fillId="0" borderId="0" xfId="0" applyNumberFormat="1" applyFont="1"/>
    <xf numFmtId="0" fontId="29" fillId="0" borderId="0" xfId="0" applyFont="1"/>
    <xf numFmtId="166" fontId="30" fillId="0" borderId="33" xfId="0" applyNumberFormat="1" applyFont="1" applyFill="1" applyBorder="1"/>
    <xf numFmtId="0" fontId="31" fillId="0" borderId="0" xfId="0" applyFont="1"/>
    <xf numFmtId="0" fontId="9" fillId="4" borderId="30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11" fillId="4" borderId="41" xfId="0" applyFont="1" applyFill="1" applyBorder="1"/>
    <xf numFmtId="165" fontId="9" fillId="9" borderId="21" xfId="0" applyNumberFormat="1" applyFont="1" applyFill="1" applyBorder="1"/>
    <xf numFmtId="165" fontId="30" fillId="0" borderId="0" xfId="0" applyNumberFormat="1" applyFont="1"/>
    <xf numFmtId="166" fontId="10" fillId="0" borderId="21" xfId="0" applyNumberFormat="1" applyFont="1" applyBorder="1"/>
    <xf numFmtId="166" fontId="9" fillId="9" borderId="21" xfId="0" applyNumberFormat="1" applyFont="1" applyFill="1" applyBorder="1"/>
    <xf numFmtId="168" fontId="10" fillId="0" borderId="21" xfId="0" applyNumberFormat="1" applyFont="1" applyBorder="1"/>
    <xf numFmtId="168" fontId="9" fillId="9" borderId="21" xfId="0" applyNumberFormat="1" applyFont="1" applyFill="1" applyBorder="1"/>
    <xf numFmtId="166" fontId="30" fillId="0" borderId="0" xfId="0" applyNumberFormat="1" applyFont="1"/>
    <xf numFmtId="169" fontId="8" fillId="0" borderId="21" xfId="0" applyNumberFormat="1" applyFont="1" applyBorder="1"/>
    <xf numFmtId="169" fontId="12" fillId="0" borderId="21" xfId="0" applyNumberFormat="1" applyFont="1" applyBorder="1"/>
    <xf numFmtId="165" fontId="33" fillId="0" borderId="21" xfId="0" applyNumberFormat="1" applyFont="1" applyFill="1" applyBorder="1"/>
    <xf numFmtId="168" fontId="32" fillId="7" borderId="21" xfId="0" applyNumberFormat="1" applyFont="1" applyFill="1" applyBorder="1"/>
    <xf numFmtId="168" fontId="34" fillId="0" borderId="21" xfId="0" applyNumberFormat="1" applyFont="1" applyFill="1" applyBorder="1"/>
    <xf numFmtId="10" fontId="34" fillId="0" borderId="21" xfId="0" applyNumberFormat="1" applyFont="1" applyFill="1" applyBorder="1"/>
    <xf numFmtId="168" fontId="32" fillId="0" borderId="21" xfId="0" applyNumberFormat="1" applyFont="1" applyFill="1" applyBorder="1"/>
    <xf numFmtId="0" fontId="33" fillId="0" borderId="0" xfId="0" applyFont="1"/>
    <xf numFmtId="168" fontId="0" fillId="10" borderId="21" xfId="0" applyNumberFormat="1" applyFill="1" applyBorder="1"/>
    <xf numFmtId="0" fontId="2" fillId="3" borderId="21" xfId="0" applyFont="1" applyFill="1" applyBorder="1" applyAlignment="1">
      <alignment horizontal="center" vertical="center"/>
    </xf>
    <xf numFmtId="166" fontId="28" fillId="7" borderId="33" xfId="0" applyNumberFormat="1" applyFont="1" applyFill="1" applyBorder="1" applyAlignment="1">
      <alignment horizontal="center"/>
    </xf>
    <xf numFmtId="168" fontId="33" fillId="0" borderId="0" xfId="0" applyNumberFormat="1" applyFont="1"/>
    <xf numFmtId="0" fontId="8" fillId="11" borderId="0" xfId="0" applyFont="1" applyFill="1"/>
    <xf numFmtId="0" fontId="37" fillId="0" borderId="0" xfId="0" applyFont="1"/>
    <xf numFmtId="167" fontId="37" fillId="0" borderId="0" xfId="0" applyNumberFormat="1" applyFont="1"/>
    <xf numFmtId="0" fontId="28" fillId="0" borderId="0" xfId="0" applyFont="1" applyFill="1" applyBorder="1" applyAlignment="1">
      <alignment horizontal="right" indent="2"/>
    </xf>
    <xf numFmtId="0" fontId="35" fillId="0" borderId="0" xfId="0" applyFont="1" applyFill="1"/>
    <xf numFmtId="165" fontId="36" fillId="0" borderId="0" xfId="0" applyNumberFormat="1" applyFont="1" applyFill="1"/>
    <xf numFmtId="166" fontId="0" fillId="0" borderId="0" xfId="0" applyNumberFormat="1" applyFill="1"/>
    <xf numFmtId="0" fontId="0" fillId="0" borderId="0" xfId="0" applyFill="1"/>
    <xf numFmtId="0" fontId="4" fillId="0" borderId="0" xfId="0" applyFont="1" applyAlignment="1">
      <alignment horizontal="left" vertical="center"/>
    </xf>
    <xf numFmtId="165" fontId="37" fillId="0" borderId="0" xfId="0" applyNumberFormat="1" applyFont="1"/>
    <xf numFmtId="1" fontId="37" fillId="0" borderId="0" xfId="0" applyNumberFormat="1" applyFont="1"/>
    <xf numFmtId="0" fontId="39" fillId="0" borderId="0" xfId="0" applyFont="1" applyAlignment="1">
      <alignment horizontal="right"/>
    </xf>
    <xf numFmtId="165" fontId="39" fillId="0" borderId="0" xfId="0" applyNumberFormat="1" applyFont="1"/>
    <xf numFmtId="0" fontId="2" fillId="0" borderId="23" xfId="0" applyFont="1" applyBorder="1" applyAlignment="1">
      <alignment horizontal="center" vertical="center"/>
    </xf>
    <xf numFmtId="0" fontId="4" fillId="0" borderId="28" xfId="0" applyFont="1" applyBorder="1"/>
    <xf numFmtId="0" fontId="12" fillId="0" borderId="28" xfId="0" applyFont="1" applyBorder="1" applyAlignment="1">
      <alignment horizontal="left" wrapText="1"/>
    </xf>
    <xf numFmtId="0" fontId="40" fillId="0" borderId="0" xfId="0" applyFont="1"/>
    <xf numFmtId="0" fontId="41" fillId="0" borderId="0" xfId="0" applyFont="1"/>
    <xf numFmtId="165" fontId="41" fillId="0" borderId="0" xfId="0" applyNumberFormat="1" applyFont="1"/>
    <xf numFmtId="0" fontId="4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69" fontId="0" fillId="0" borderId="0" xfId="0" applyNumberFormat="1"/>
    <xf numFmtId="168" fontId="0" fillId="0" borderId="0" xfId="0" applyNumberFormat="1"/>
    <xf numFmtId="0" fontId="10" fillId="16" borderId="47" xfId="0" applyFont="1" applyFill="1" applyBorder="1" applyAlignment="1">
      <alignment vertical="center" wrapText="1"/>
    </xf>
    <xf numFmtId="170" fontId="10" fillId="16" borderId="46" xfId="0" applyNumberFormat="1" applyFont="1" applyFill="1" applyBorder="1" applyAlignment="1">
      <alignment horizontal="right" vertical="center" wrapText="1"/>
    </xf>
    <xf numFmtId="0" fontId="10" fillId="17" borderId="47" xfId="0" applyFont="1" applyFill="1" applyBorder="1" applyAlignment="1">
      <alignment vertical="center" wrapText="1"/>
    </xf>
    <xf numFmtId="170" fontId="10" fillId="17" borderId="46" xfId="0" applyNumberFormat="1" applyFont="1" applyFill="1" applyBorder="1" applyAlignment="1">
      <alignment horizontal="right" vertical="center" wrapText="1"/>
    </xf>
    <xf numFmtId="0" fontId="9" fillId="15" borderId="47" xfId="0" applyFont="1" applyFill="1" applyBorder="1" applyAlignment="1">
      <alignment horizontal="right" vertical="center" wrapText="1"/>
    </xf>
    <xf numFmtId="170" fontId="9" fillId="15" borderId="46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8" fillId="0" borderId="0" xfId="0" applyFont="1" applyFill="1"/>
    <xf numFmtId="171" fontId="8" fillId="18" borderId="21" xfId="1" applyNumberFormat="1" applyFont="1" applyFill="1" applyBorder="1"/>
    <xf numFmtId="0" fontId="0" fillId="6" borderId="21" xfId="0" applyFill="1" applyBorder="1" applyAlignment="1"/>
    <xf numFmtId="0" fontId="2" fillId="0" borderId="21" xfId="0" applyFont="1" applyBorder="1" applyAlignment="1">
      <alignment horizontal="center"/>
    </xf>
    <xf numFmtId="0" fontId="0" fillId="20" borderId="0" xfId="0" applyFill="1"/>
    <xf numFmtId="0" fontId="8" fillId="20" borderId="0" xfId="0" applyFont="1" applyFill="1"/>
    <xf numFmtId="165" fontId="46" fillId="0" borderId="0" xfId="0" applyNumberFormat="1" applyFont="1"/>
    <xf numFmtId="0" fontId="8" fillId="7" borderId="21" xfId="0" applyFont="1" applyFill="1" applyBorder="1" applyAlignment="1">
      <alignment horizontal="center" vertical="center"/>
    </xf>
    <xf numFmtId="166" fontId="3" fillId="19" borderId="13" xfId="1" applyNumberFormat="1" applyFont="1" applyFill="1" applyBorder="1"/>
    <xf numFmtId="171" fontId="3" fillId="19" borderId="13" xfId="1" applyNumberFormat="1" applyFont="1" applyFill="1" applyBorder="1"/>
    <xf numFmtId="0" fontId="1" fillId="0" borderId="0" xfId="0" applyFont="1"/>
    <xf numFmtId="166" fontId="0" fillId="0" borderId="0" xfId="1" applyNumberFormat="1" applyFont="1"/>
    <xf numFmtId="166" fontId="33" fillId="0" borderId="0" xfId="0" applyNumberFormat="1" applyFont="1"/>
    <xf numFmtId="166" fontId="12" fillId="0" borderId="21" xfId="1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6" fontId="6" fillId="2" borderId="21" xfId="0" applyNumberFormat="1" applyFont="1" applyFill="1" applyBorder="1" applyAlignment="1">
      <alignment vertical="center"/>
    </xf>
    <xf numFmtId="166" fontId="6" fillId="2" borderId="20" xfId="1" applyNumberFormat="1" applyFont="1" applyFill="1" applyBorder="1" applyAlignment="1">
      <alignment horizontal="right" vertical="center"/>
    </xf>
    <xf numFmtId="0" fontId="49" fillId="0" borderId="0" xfId="0" applyFont="1"/>
    <xf numFmtId="0" fontId="50" fillId="0" borderId="0" xfId="0" applyFont="1"/>
    <xf numFmtId="165" fontId="8" fillId="0" borderId="21" xfId="0" applyNumberFormat="1" applyFont="1" applyFill="1" applyBorder="1"/>
    <xf numFmtId="165" fontId="4" fillId="0" borderId="21" xfId="0" applyNumberFormat="1" applyFont="1" applyFill="1" applyBorder="1"/>
    <xf numFmtId="165" fontId="10" fillId="0" borderId="21" xfId="0" applyNumberFormat="1" applyFont="1" applyFill="1" applyBorder="1"/>
    <xf numFmtId="170" fontId="10" fillId="19" borderId="46" xfId="0" applyNumberFormat="1" applyFont="1" applyFill="1" applyBorder="1" applyAlignment="1">
      <alignment horizontal="right" vertical="center" wrapText="1"/>
    </xf>
    <xf numFmtId="0" fontId="2" fillId="19" borderId="0" xfId="0" applyFont="1" applyFill="1"/>
    <xf numFmtId="0" fontId="3" fillId="0" borderId="4" xfId="0" applyFont="1" applyFill="1" applyBorder="1" applyAlignment="1">
      <alignment vertical="center"/>
    </xf>
    <xf numFmtId="0" fontId="8" fillId="7" borderId="21" xfId="0" applyFont="1" applyFill="1" applyBorder="1" applyAlignment="1">
      <alignment horizontal="center" vertical="center" wrapText="1"/>
    </xf>
    <xf numFmtId="165" fontId="2" fillId="21" borderId="21" xfId="0" applyNumberFormat="1" applyFont="1" applyFill="1" applyBorder="1" applyAlignment="1">
      <alignment horizontal="right" vertical="center"/>
    </xf>
    <xf numFmtId="0" fontId="12" fillId="24" borderId="28" xfId="0" applyFont="1" applyFill="1" applyBorder="1" applyAlignment="1">
      <alignment wrapText="1"/>
    </xf>
    <xf numFmtId="169" fontId="12" fillId="24" borderId="29" xfId="0" applyNumberFormat="1" applyFont="1" applyFill="1" applyBorder="1" applyAlignment="1">
      <alignment horizontal="center" wrapText="1"/>
    </xf>
    <xf numFmtId="169" fontId="28" fillId="24" borderId="29" xfId="0" applyNumberFormat="1" applyFont="1" applyFill="1" applyBorder="1" applyAlignment="1">
      <alignment horizontal="center" wrapText="1"/>
    </xf>
    <xf numFmtId="0" fontId="49" fillId="0" borderId="8" xfId="0" applyFont="1" applyBorder="1" applyAlignment="1">
      <alignment vertical="center"/>
    </xf>
    <xf numFmtId="168" fontId="6" fillId="0" borderId="0" xfId="0" applyNumberFormat="1" applyFont="1"/>
    <xf numFmtId="166" fontId="6" fillId="0" borderId="0" xfId="1" applyNumberFormat="1" applyFont="1"/>
    <xf numFmtId="168" fontId="55" fillId="0" borderId="0" xfId="0" applyNumberFormat="1" applyFont="1"/>
    <xf numFmtId="165" fontId="6" fillId="0" borderId="0" xfId="0" applyNumberFormat="1" applyFont="1"/>
    <xf numFmtId="166" fontId="4" fillId="0" borderId="33" xfId="1" applyNumberFormat="1" applyFont="1" applyFill="1" applyBorder="1" applyAlignment="1">
      <alignment horizontal="center"/>
    </xf>
    <xf numFmtId="166" fontId="55" fillId="0" borderId="0" xfId="1" applyNumberFormat="1" applyFont="1"/>
    <xf numFmtId="166" fontId="6" fillId="0" borderId="0" xfId="0" applyNumberFormat="1" applyFont="1"/>
    <xf numFmtId="0" fontId="1" fillId="19" borderId="0" xfId="0" applyFont="1" applyFill="1"/>
    <xf numFmtId="166" fontId="0" fillId="19" borderId="0" xfId="1" applyNumberFormat="1" applyFont="1" applyFill="1"/>
    <xf numFmtId="166" fontId="53" fillId="19" borderId="0" xfId="0" applyNumberFormat="1" applyFont="1" applyFill="1"/>
    <xf numFmtId="168" fontId="53" fillId="19" borderId="0" xfId="0" applyNumberFormat="1" applyFont="1" applyFill="1"/>
    <xf numFmtId="0" fontId="10" fillId="0" borderId="0" xfId="0" applyFont="1"/>
    <xf numFmtId="0" fontId="56" fillId="0" borderId="0" xfId="0" applyFont="1"/>
    <xf numFmtId="0" fontId="57" fillId="0" borderId="0" xfId="0" applyFont="1"/>
    <xf numFmtId="0" fontId="62" fillId="25" borderId="53" xfId="3" applyFont="1" applyFill="1" applyBorder="1" applyAlignment="1">
      <alignment horizontal="right" vertical="center"/>
    </xf>
    <xf numFmtId="0" fontId="63" fillId="0" borderId="55" xfId="3" applyFont="1" applyBorder="1" applyAlignment="1">
      <alignment horizontal="left" vertical="center"/>
    </xf>
    <xf numFmtId="0" fontId="63" fillId="0" borderId="56" xfId="3" applyFont="1" applyBorder="1" applyAlignment="1">
      <alignment horizontal="left" vertical="center"/>
    </xf>
    <xf numFmtId="3" fontId="10" fillId="0" borderId="0" xfId="0" applyNumberFormat="1" applyFont="1"/>
    <xf numFmtId="0" fontId="66" fillId="0" borderId="60" xfId="3" applyFont="1" applyBorder="1" applyAlignment="1">
      <alignment horizontal="left" vertical="center"/>
    </xf>
    <xf numFmtId="165" fontId="63" fillId="0" borderId="56" xfId="3" applyNumberFormat="1" applyFont="1" applyBorder="1" applyAlignment="1">
      <alignment horizontal="left" vertical="center"/>
    </xf>
    <xf numFmtId="0" fontId="10" fillId="0" borderId="75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75" fillId="0" borderId="0" xfId="0" applyFont="1" applyAlignment="1">
      <alignment vertical="top" wrapText="1"/>
    </xf>
    <xf numFmtId="10" fontId="10" fillId="0" borderId="0" xfId="1" applyNumberFormat="1" applyFont="1"/>
    <xf numFmtId="0" fontId="56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9" fillId="4" borderId="87" xfId="0" applyFont="1" applyFill="1" applyBorder="1" applyAlignment="1">
      <alignment horizontal="center"/>
    </xf>
    <xf numFmtId="0" fontId="77" fillId="26" borderId="48" xfId="0" applyFont="1" applyFill="1" applyBorder="1" applyAlignment="1">
      <alignment wrapText="1"/>
    </xf>
    <xf numFmtId="0" fontId="77" fillId="26" borderId="90" xfId="0" applyFont="1" applyFill="1" applyBorder="1" applyAlignment="1">
      <alignment wrapText="1"/>
    </xf>
    <xf numFmtId="0" fontId="77" fillId="26" borderId="91" xfId="0" applyFont="1" applyFill="1" applyBorder="1" applyAlignment="1">
      <alignment wrapText="1"/>
    </xf>
    <xf numFmtId="0" fontId="77" fillId="26" borderId="92" xfId="0" applyFont="1" applyFill="1" applyBorder="1" applyAlignment="1">
      <alignment wrapText="1"/>
    </xf>
    <xf numFmtId="166" fontId="4" fillId="0" borderId="33" xfId="1" applyNumberFormat="1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167" fontId="0" fillId="29" borderId="21" xfId="0" applyNumberFormat="1" applyFill="1" applyBorder="1"/>
    <xf numFmtId="165" fontId="0" fillId="29" borderId="21" xfId="0" applyNumberFormat="1" applyFill="1" applyBorder="1"/>
    <xf numFmtId="165" fontId="0" fillId="29" borderId="16" xfId="0" applyNumberFormat="1" applyFill="1" applyBorder="1"/>
    <xf numFmtId="165" fontId="8" fillId="29" borderId="21" xfId="0" applyNumberFormat="1" applyFont="1" applyFill="1" applyBorder="1"/>
    <xf numFmtId="14" fontId="0" fillId="0" borderId="0" xfId="0" applyNumberFormat="1"/>
    <xf numFmtId="169" fontId="8" fillId="28" borderId="21" xfId="0" applyNumberFormat="1" applyFont="1" applyFill="1" applyBorder="1"/>
    <xf numFmtId="168" fontId="8" fillId="28" borderId="21" xfId="0" applyNumberFormat="1" applyFont="1" applyFill="1" applyBorder="1"/>
    <xf numFmtId="169" fontId="3" fillId="0" borderId="13" xfId="1" applyNumberFormat="1" applyFont="1" applyFill="1" applyBorder="1"/>
    <xf numFmtId="169" fontId="3" fillId="0" borderId="14" xfId="1" applyNumberFormat="1" applyFont="1" applyFill="1" applyBorder="1"/>
    <xf numFmtId="169" fontId="2" fillId="0" borderId="0" xfId="0" applyNumberFormat="1" applyFont="1" applyFill="1"/>
    <xf numFmtId="0" fontId="68" fillId="0" borderId="88" xfId="3" applyFont="1" applyBorder="1" applyAlignment="1">
      <alignment horizontal="right" vertical="center"/>
    </xf>
    <xf numFmtId="0" fontId="63" fillId="0" borderId="89" xfId="3" applyFont="1" applyBorder="1" applyAlignment="1">
      <alignment horizontal="left" vertical="center"/>
    </xf>
    <xf numFmtId="0" fontId="68" fillId="0" borderId="91" xfId="3" applyFont="1" applyBorder="1" applyAlignment="1">
      <alignment horizontal="right" vertical="center"/>
    </xf>
    <xf numFmtId="165" fontId="63" fillId="0" borderId="92" xfId="3" applyNumberFormat="1" applyFont="1" applyBorder="1" applyAlignment="1">
      <alignment horizontal="left" vertical="center"/>
    </xf>
    <xf numFmtId="171" fontId="70" fillId="23" borderId="93" xfId="0" applyNumberFormat="1" applyFont="1" applyFill="1" applyBorder="1" applyAlignment="1">
      <alignment horizontal="right" vertical="center" wrapText="1"/>
    </xf>
    <xf numFmtId="173" fontId="70" fillId="23" borderId="93" xfId="0" applyNumberFormat="1" applyFont="1" applyFill="1" applyBorder="1" applyAlignment="1">
      <alignment horizontal="right" vertical="center" wrapText="1"/>
    </xf>
    <xf numFmtId="0" fontId="63" fillId="0" borderId="93" xfId="3" applyFont="1" applyBorder="1" applyAlignment="1">
      <alignment horizontal="left" vertical="center"/>
    </xf>
    <xf numFmtId="3" fontId="69" fillId="23" borderId="93" xfId="3" applyNumberFormat="1" applyFont="1" applyFill="1" applyBorder="1" applyAlignment="1">
      <alignment horizontal="right" vertical="center"/>
    </xf>
    <xf numFmtId="171" fontId="73" fillId="23" borderId="96" xfId="0" applyNumberFormat="1" applyFont="1" applyFill="1" applyBorder="1" applyAlignment="1">
      <alignment horizontal="right" vertical="center"/>
    </xf>
    <xf numFmtId="171" fontId="73" fillId="23" borderId="97" xfId="0" applyNumberFormat="1" applyFont="1" applyFill="1" applyBorder="1" applyAlignment="1">
      <alignment horizontal="right" vertical="center"/>
    </xf>
    <xf numFmtId="171" fontId="70" fillId="23" borderId="94" xfId="0" applyNumberFormat="1" applyFont="1" applyFill="1" applyBorder="1" applyAlignment="1">
      <alignment horizontal="right" vertical="center" wrapText="1"/>
    </xf>
    <xf numFmtId="173" fontId="70" fillId="23" borderId="94" xfId="0" applyNumberFormat="1" applyFont="1" applyFill="1" applyBorder="1" applyAlignment="1">
      <alignment horizontal="right" vertical="center" wrapText="1"/>
    </xf>
    <xf numFmtId="165" fontId="63" fillId="0" borderId="94" xfId="3" applyNumberFormat="1" applyFont="1" applyBorder="1" applyAlignment="1">
      <alignment horizontal="left" vertical="center"/>
    </xf>
    <xf numFmtId="3" fontId="69" fillId="23" borderId="94" xfId="3" applyNumberFormat="1" applyFont="1" applyFill="1" applyBorder="1" applyAlignment="1">
      <alignment horizontal="right" vertical="center"/>
    </xf>
    <xf numFmtId="171" fontId="73" fillId="23" borderId="98" xfId="0" applyNumberFormat="1" applyFont="1" applyFill="1" applyBorder="1" applyAlignment="1">
      <alignment horizontal="right" vertical="center"/>
    </xf>
    <xf numFmtId="171" fontId="73" fillId="23" borderId="99" xfId="0" applyNumberFormat="1" applyFont="1" applyFill="1" applyBorder="1" applyAlignment="1">
      <alignment horizontal="right" vertical="center"/>
    </xf>
    <xf numFmtId="2" fontId="10" fillId="0" borderId="0" xfId="0" applyNumberFormat="1" applyFont="1"/>
    <xf numFmtId="3" fontId="71" fillId="23" borderId="76" xfId="0" applyNumberFormat="1" applyFont="1" applyFill="1" applyBorder="1" applyAlignment="1">
      <alignment horizontal="right" vertical="center"/>
    </xf>
    <xf numFmtId="171" fontId="71" fillId="23" borderId="76" xfId="0" applyNumberFormat="1" applyFont="1" applyFill="1" applyBorder="1" applyAlignment="1">
      <alignment horizontal="right" vertical="center"/>
    </xf>
    <xf numFmtId="171" fontId="72" fillId="23" borderId="76" xfId="0" applyNumberFormat="1" applyFont="1" applyFill="1" applyBorder="1" applyAlignment="1">
      <alignment horizontal="right" vertical="center" wrapText="1"/>
    </xf>
    <xf numFmtId="173" fontId="72" fillId="23" borderId="76" xfId="0" applyNumberFormat="1" applyFont="1" applyFill="1" applyBorder="1" applyAlignment="1">
      <alignment horizontal="right" vertical="center" wrapText="1"/>
    </xf>
    <xf numFmtId="3" fontId="73" fillId="23" borderId="79" xfId="0" applyNumberFormat="1" applyFont="1" applyFill="1" applyBorder="1" applyAlignment="1">
      <alignment horizontal="right" vertical="center"/>
    </xf>
    <xf numFmtId="171" fontId="73" fillId="23" borderId="76" xfId="0" applyNumberFormat="1" applyFont="1" applyFill="1" applyBorder="1" applyAlignment="1">
      <alignment horizontal="right" vertical="center"/>
    </xf>
    <xf numFmtId="172" fontId="73" fillId="23" borderId="79" xfId="4" applyNumberFormat="1" applyFont="1" applyFill="1" applyBorder="1" applyAlignment="1">
      <alignment horizontal="right" vertical="center"/>
    </xf>
    <xf numFmtId="171" fontId="74" fillId="23" borderId="80" xfId="0" applyNumberFormat="1" applyFont="1" applyFill="1" applyBorder="1" applyAlignment="1">
      <alignment horizontal="right" vertical="center" wrapText="1"/>
    </xf>
    <xf numFmtId="171" fontId="74" fillId="23" borderId="81" xfId="0" applyNumberFormat="1" applyFont="1" applyFill="1" applyBorder="1" applyAlignment="1">
      <alignment horizontal="right" vertical="center" wrapText="1"/>
    </xf>
    <xf numFmtId="171" fontId="74" fillId="23" borderId="82" xfId="0" applyNumberFormat="1" applyFont="1" applyFill="1" applyBorder="1" applyAlignment="1">
      <alignment horizontal="right" vertical="center" wrapText="1"/>
    </xf>
    <xf numFmtId="171" fontId="70" fillId="23" borderId="83" xfId="0" applyNumberFormat="1" applyFont="1" applyFill="1" applyBorder="1" applyAlignment="1">
      <alignment horizontal="right" vertical="center" wrapText="1"/>
    </xf>
    <xf numFmtId="173" fontId="70" fillId="23" borderId="76" xfId="0" applyNumberFormat="1" applyFont="1" applyFill="1" applyBorder="1" applyAlignment="1">
      <alignment horizontal="right" vertical="center" wrapText="1"/>
    </xf>
    <xf numFmtId="3" fontId="71" fillId="23" borderId="73" xfId="0" applyNumberFormat="1" applyFont="1" applyFill="1" applyBorder="1" applyAlignment="1">
      <alignment horizontal="right" vertical="center"/>
    </xf>
    <xf numFmtId="3" fontId="73" fillId="23" borderId="73" xfId="0" applyNumberFormat="1" applyFont="1" applyFill="1" applyBorder="1" applyAlignment="1">
      <alignment horizontal="right" vertical="center"/>
    </xf>
    <xf numFmtId="172" fontId="73" fillId="23" borderId="73" xfId="4" applyNumberFormat="1" applyFont="1" applyFill="1" applyBorder="1" applyAlignment="1">
      <alignment horizontal="right" vertical="center"/>
    </xf>
    <xf numFmtId="3" fontId="9" fillId="23" borderId="76" xfId="0" applyNumberFormat="1" applyFont="1" applyFill="1" applyBorder="1" applyAlignment="1">
      <alignment horizontal="right" vertical="center"/>
    </xf>
    <xf numFmtId="172" fontId="9" fillId="23" borderId="76" xfId="4" applyNumberFormat="1" applyFont="1" applyFill="1" applyBorder="1" applyAlignment="1">
      <alignment horizontal="right" vertical="center"/>
    </xf>
    <xf numFmtId="171" fontId="74" fillId="23" borderId="58" xfId="0" applyNumberFormat="1" applyFont="1" applyFill="1" applyBorder="1" applyAlignment="1">
      <alignment horizontal="right" vertical="center" wrapText="1"/>
    </xf>
    <xf numFmtId="171" fontId="74" fillId="23" borderId="75" xfId="0" applyNumberFormat="1" applyFont="1" applyFill="1" applyBorder="1" applyAlignment="1">
      <alignment horizontal="right" vertical="center" wrapText="1"/>
    </xf>
    <xf numFmtId="0" fontId="10" fillId="0" borderId="100" xfId="0" applyFont="1" applyBorder="1" applyAlignment="1">
      <alignment horizontal="left" vertical="center"/>
    </xf>
    <xf numFmtId="171" fontId="71" fillId="23" borderId="102" xfId="0" applyNumberFormat="1" applyFont="1" applyFill="1" applyBorder="1" applyAlignment="1">
      <alignment horizontal="right" vertical="center"/>
    </xf>
    <xf numFmtId="171" fontId="71" fillId="23" borderId="103" xfId="0" applyNumberFormat="1" applyFont="1" applyFill="1" applyBorder="1" applyAlignment="1">
      <alignment horizontal="right" vertical="center" wrapText="1"/>
    </xf>
    <xf numFmtId="171" fontId="71" fillId="23" borderId="101" xfId="0" applyNumberFormat="1" applyFont="1" applyFill="1" applyBorder="1" applyAlignment="1">
      <alignment horizontal="right" vertical="center" wrapText="1"/>
    </xf>
    <xf numFmtId="171" fontId="72" fillId="23" borderId="102" xfId="0" applyNumberFormat="1" applyFont="1" applyFill="1" applyBorder="1" applyAlignment="1">
      <alignment horizontal="right" vertical="center" wrapText="1"/>
    </xf>
    <xf numFmtId="173" fontId="72" fillId="23" borderId="104" xfId="0" applyNumberFormat="1" applyFont="1" applyFill="1" applyBorder="1" applyAlignment="1">
      <alignment horizontal="right" vertical="center" wrapText="1"/>
    </xf>
    <xf numFmtId="171" fontId="72" fillId="23" borderId="105" xfId="0" applyNumberFormat="1" applyFont="1" applyFill="1" applyBorder="1" applyAlignment="1">
      <alignment horizontal="right" vertical="center" wrapText="1"/>
    </xf>
    <xf numFmtId="173" fontId="72" fillId="23" borderId="108" xfId="0" applyNumberFormat="1" applyFont="1" applyFill="1" applyBorder="1" applyAlignment="1">
      <alignment horizontal="right" vertical="center" wrapText="1"/>
    </xf>
    <xf numFmtId="0" fontId="12" fillId="24" borderId="28" xfId="0" applyFont="1" applyFill="1" applyBorder="1"/>
    <xf numFmtId="0" fontId="9" fillId="30" borderId="28" xfId="0" applyFont="1" applyFill="1" applyBorder="1" applyAlignment="1">
      <alignment horizontal="center"/>
    </xf>
    <xf numFmtId="0" fontId="9" fillId="30" borderId="28" xfId="0" applyFont="1" applyFill="1" applyBorder="1" applyAlignment="1">
      <alignment horizontal="center" wrapText="1"/>
    </xf>
    <xf numFmtId="0" fontId="9" fillId="30" borderId="29" xfId="0" applyFont="1" applyFill="1" applyBorder="1" applyAlignment="1">
      <alignment horizontal="center" wrapText="1"/>
    </xf>
    <xf numFmtId="169" fontId="12" fillId="21" borderId="29" xfId="0" applyNumberFormat="1" applyFont="1" applyFill="1" applyBorder="1" applyAlignment="1">
      <alignment horizontal="center" wrapText="1"/>
    </xf>
    <xf numFmtId="169" fontId="28" fillId="21" borderId="29" xfId="0" applyNumberFormat="1" applyFont="1" applyFill="1" applyBorder="1" applyAlignment="1">
      <alignment horizontal="center" wrapText="1"/>
    </xf>
    <xf numFmtId="169" fontId="12" fillId="21" borderId="29" xfId="0" applyNumberFormat="1" applyFont="1" applyFill="1" applyBorder="1" applyAlignment="1">
      <alignment horizontal="center" vertical="center" wrapText="1"/>
    </xf>
    <xf numFmtId="165" fontId="8" fillId="31" borderId="21" xfId="0" applyNumberFormat="1" applyFont="1" applyFill="1" applyBorder="1"/>
    <xf numFmtId="169" fontId="8" fillId="31" borderId="21" xfId="0" applyNumberFormat="1" applyFont="1" applyFill="1" applyBorder="1"/>
    <xf numFmtId="169" fontId="2" fillId="31" borderId="0" xfId="0" applyNumberFormat="1" applyFont="1" applyFill="1"/>
    <xf numFmtId="0" fontId="81" fillId="0" borderId="9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165" fontId="81" fillId="0" borderId="109" xfId="0" applyNumberFormat="1" applyFont="1" applyFill="1" applyBorder="1" applyAlignment="1">
      <alignment horizontal="right" vertical="center"/>
    </xf>
    <xf numFmtId="165" fontId="81" fillId="0" borderId="110" xfId="0" applyNumberFormat="1" applyFont="1" applyFill="1" applyBorder="1" applyAlignment="1">
      <alignment horizontal="right" vertical="center"/>
    </xf>
    <xf numFmtId="165" fontId="81" fillId="0" borderId="0" xfId="0" applyNumberFormat="1" applyFont="1" applyFill="1" applyBorder="1" applyAlignment="1">
      <alignment horizontal="right" vertical="center"/>
    </xf>
    <xf numFmtId="166" fontId="81" fillId="0" borderId="110" xfId="1" applyNumberFormat="1" applyFont="1" applyFill="1" applyBorder="1" applyAlignment="1">
      <alignment horizontal="right" vertical="center"/>
    </xf>
    <xf numFmtId="0" fontId="47" fillId="0" borderId="0" xfId="0" applyFont="1"/>
    <xf numFmtId="166" fontId="33" fillId="0" borderId="0" xfId="1" applyNumberFormat="1" applyFont="1"/>
    <xf numFmtId="0" fontId="4" fillId="0" borderId="21" xfId="0" applyFont="1" applyFill="1" applyBorder="1" applyAlignment="1">
      <alignment horizontal="left" indent="2"/>
    </xf>
    <xf numFmtId="169" fontId="12" fillId="0" borderId="21" xfId="0" applyNumberFormat="1" applyFont="1" applyFill="1" applyBorder="1"/>
    <xf numFmtId="169" fontId="8" fillId="0" borderId="21" xfId="0" applyNumberFormat="1" applyFont="1" applyFill="1" applyBorder="1"/>
    <xf numFmtId="0" fontId="78" fillId="25" borderId="0" xfId="0" applyFont="1" applyFill="1"/>
    <xf numFmtId="0" fontId="1" fillId="13" borderId="0" xfId="0" applyFont="1" applyFill="1"/>
    <xf numFmtId="168" fontId="0" fillId="13" borderId="0" xfId="0" applyNumberFormat="1" applyFill="1"/>
    <xf numFmtId="166" fontId="0" fillId="13" borderId="0" xfId="1" applyNumberFormat="1" applyFont="1" applyFill="1"/>
    <xf numFmtId="166" fontId="33" fillId="13" borderId="0" xfId="1" applyNumberFormat="1" applyFont="1" applyFill="1"/>
    <xf numFmtId="168" fontId="33" fillId="13" borderId="0" xfId="0" applyNumberFormat="1" applyFont="1" applyFill="1"/>
    <xf numFmtId="166" fontId="33" fillId="13" borderId="0" xfId="0" applyNumberFormat="1" applyFont="1" applyFill="1"/>
    <xf numFmtId="0" fontId="0" fillId="13" borderId="0" xfId="0" applyFill="1"/>
    <xf numFmtId="0" fontId="1" fillId="13" borderId="0" xfId="0" applyFont="1" applyFill="1" applyAlignment="1">
      <alignment horizontal="center"/>
    </xf>
    <xf numFmtId="168" fontId="33" fillId="0" borderId="21" xfId="0" applyNumberFormat="1" applyFont="1" applyBorder="1"/>
    <xf numFmtId="0" fontId="48" fillId="32" borderId="0" xfId="0" applyFont="1" applyFill="1"/>
    <xf numFmtId="168" fontId="48" fillId="32" borderId="0" xfId="0" applyNumberFormat="1" applyFont="1" applyFill="1"/>
    <xf numFmtId="166" fontId="83" fillId="32" borderId="0" xfId="1" applyNumberFormat="1" applyFont="1" applyFill="1"/>
    <xf numFmtId="166" fontId="48" fillId="32" borderId="0" xfId="0" applyNumberFormat="1" applyFont="1" applyFill="1"/>
    <xf numFmtId="174" fontId="0" fillId="13" borderId="0" xfId="4" applyNumberFormat="1" applyFont="1" applyFill="1" applyAlignment="1">
      <alignment horizontal="right"/>
    </xf>
    <xf numFmtId="165" fontId="84" fillId="31" borderId="15" xfId="0" applyNumberFormat="1" applyFont="1" applyFill="1" applyBorder="1" applyAlignment="1">
      <alignment horizontal="right" vertical="center"/>
    </xf>
    <xf numFmtId="166" fontId="78" fillId="33" borderId="0" xfId="1" applyNumberFormat="1" applyFont="1" applyFill="1"/>
    <xf numFmtId="166" fontId="79" fillId="33" borderId="0" xfId="1" applyNumberFormat="1" applyFont="1" applyFill="1"/>
    <xf numFmtId="0" fontId="80" fillId="33" borderId="0" xfId="0" applyFont="1" applyFill="1"/>
    <xf numFmtId="166" fontId="78" fillId="33" borderId="0" xfId="0" applyNumberFormat="1" applyFont="1" applyFill="1"/>
    <xf numFmtId="165" fontId="48" fillId="33" borderId="21" xfId="0" applyNumberFormat="1" applyFont="1" applyFill="1" applyBorder="1"/>
    <xf numFmtId="165" fontId="85" fillId="33" borderId="21" xfId="0" applyNumberFormat="1" applyFont="1" applyFill="1" applyBorder="1"/>
    <xf numFmtId="169" fontId="48" fillId="33" borderId="21" xfId="0" applyNumberFormat="1" applyFont="1" applyFill="1" applyBorder="1"/>
    <xf numFmtId="169" fontId="85" fillId="33" borderId="21" xfId="0" applyNumberFormat="1" applyFont="1" applyFill="1" applyBorder="1"/>
    <xf numFmtId="168" fontId="78" fillId="33" borderId="0" xfId="0" applyNumberFormat="1" applyFont="1" applyFill="1"/>
    <xf numFmtId="0" fontId="48" fillId="33" borderId="21" xfId="0" applyFont="1" applyFill="1" applyBorder="1"/>
    <xf numFmtId="0" fontId="85" fillId="33" borderId="21" xfId="0" applyFont="1" applyFill="1" applyBorder="1" applyAlignment="1">
      <alignment horizontal="left" indent="2"/>
    </xf>
    <xf numFmtId="0" fontId="2" fillId="3" borderId="16" xfId="0" applyFont="1" applyFill="1" applyBorder="1" applyAlignment="1">
      <alignment horizontal="center" vertical="center"/>
    </xf>
    <xf numFmtId="0" fontId="78" fillId="33" borderId="21" xfId="0" applyFont="1" applyFill="1" applyBorder="1"/>
    <xf numFmtId="168" fontId="0" fillId="0" borderId="4" xfId="0" applyNumberFormat="1" applyBorder="1"/>
    <xf numFmtId="0" fontId="9" fillId="30" borderId="0" xfId="0" applyFont="1" applyFill="1" applyBorder="1" applyAlignment="1">
      <alignment horizontal="center"/>
    </xf>
    <xf numFmtId="165" fontId="81" fillId="12" borderId="109" xfId="0" applyNumberFormat="1" applyFont="1" applyFill="1" applyBorder="1" applyAlignment="1">
      <alignment horizontal="right" vertical="center"/>
    </xf>
    <xf numFmtId="168" fontId="29" fillId="0" borderId="4" xfId="0" applyNumberFormat="1" applyFont="1" applyBorder="1"/>
    <xf numFmtId="0" fontId="82" fillId="6" borderId="21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22" xfId="0" applyNumberFormat="1" applyFont="1" applyFill="1" applyBorder="1" applyAlignment="1">
      <alignment horizontal="right" vertical="center"/>
    </xf>
    <xf numFmtId="165" fontId="8" fillId="29" borderId="42" xfId="0" applyNumberFormat="1" applyFont="1" applyFill="1" applyBorder="1"/>
    <xf numFmtId="165" fontId="18" fillId="0" borderId="0" xfId="0" applyNumberFormat="1" applyFont="1" applyFill="1"/>
    <xf numFmtId="165" fontId="0" fillId="0" borderId="0" xfId="0" applyNumberFormat="1" applyFill="1"/>
    <xf numFmtId="165" fontId="20" fillId="0" borderId="0" xfId="0" applyNumberFormat="1" applyFont="1" applyFill="1"/>
    <xf numFmtId="165" fontId="24" fillId="0" borderId="0" xfId="0" applyNumberFormat="1" applyFont="1" applyFill="1"/>
    <xf numFmtId="165" fontId="34" fillId="0" borderId="21" xfId="0" applyNumberFormat="1" applyFont="1" applyFill="1" applyBorder="1"/>
    <xf numFmtId="0" fontId="2" fillId="0" borderId="26" xfId="0" applyFont="1" applyBorder="1" applyAlignment="1">
      <alignment vertical="center"/>
    </xf>
    <xf numFmtId="165" fontId="2" fillId="0" borderId="26" xfId="0" applyNumberFormat="1" applyFont="1" applyBorder="1"/>
    <xf numFmtId="0" fontId="2" fillId="0" borderId="26" xfId="0" applyFont="1" applyBorder="1"/>
    <xf numFmtId="0" fontId="2" fillId="0" borderId="5" xfId="0" applyFont="1" applyBorder="1"/>
    <xf numFmtId="165" fontId="2" fillId="0" borderId="5" xfId="0" applyNumberFormat="1" applyFont="1" applyBorder="1"/>
    <xf numFmtId="0" fontId="2" fillId="0" borderId="1" xfId="0" applyFont="1" applyBorder="1" applyAlignment="1">
      <alignment vertical="center"/>
    </xf>
    <xf numFmtId="170" fontId="75" fillId="16" borderId="46" xfId="0" applyNumberFormat="1" applyFont="1" applyFill="1" applyBorder="1" applyAlignment="1">
      <alignment horizontal="right" vertical="center" wrapText="1"/>
    </xf>
    <xf numFmtId="165" fontId="84" fillId="23" borderId="15" xfId="0" applyNumberFormat="1" applyFont="1" applyFill="1" applyBorder="1" applyAlignment="1">
      <alignment horizontal="right" vertical="center"/>
    </xf>
    <xf numFmtId="169" fontId="3" fillId="23" borderId="13" xfId="1" applyNumberFormat="1" applyFont="1" applyFill="1" applyBorder="1"/>
    <xf numFmtId="169" fontId="3" fillId="23" borderId="14" xfId="1" applyNumberFormat="1" applyFont="1" applyFill="1" applyBorder="1"/>
    <xf numFmtId="169" fontId="3" fillId="23" borderId="19" xfId="1" applyNumberFormat="1" applyFont="1" applyFill="1" applyBorder="1"/>
    <xf numFmtId="169" fontId="8" fillId="23" borderId="21" xfId="1" applyNumberFormat="1" applyFont="1" applyFill="1" applyBorder="1"/>
    <xf numFmtId="169" fontId="8" fillId="2" borderId="21" xfId="1" applyNumberFormat="1" applyFont="1" applyFill="1" applyBorder="1"/>
    <xf numFmtId="0" fontId="1" fillId="0" borderId="3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67" fontId="3" fillId="0" borderId="32" xfId="0" applyNumberFormat="1" applyFont="1" applyFill="1" applyBorder="1" applyAlignment="1">
      <alignment horizontal="right" vertical="center"/>
    </xf>
    <xf numFmtId="165" fontId="5" fillId="2" borderId="20" xfId="0" applyNumberFormat="1" applyFont="1" applyFill="1" applyBorder="1" applyAlignment="1">
      <alignment horizontal="right" vertical="center"/>
    </xf>
    <xf numFmtId="168" fontId="8" fillId="2" borderId="21" xfId="1" applyNumberFormat="1" applyFont="1" applyFill="1" applyBorder="1"/>
    <xf numFmtId="0" fontId="1" fillId="0" borderId="21" xfId="0" applyFont="1" applyBorder="1" applyAlignment="1">
      <alignment vertical="center"/>
    </xf>
    <xf numFmtId="165" fontId="82" fillId="7" borderId="21" xfId="0" applyNumberFormat="1" applyFont="1" applyFill="1" applyBorder="1"/>
    <xf numFmtId="168" fontId="82" fillId="7" borderId="21" xfId="0" applyNumberFormat="1" applyFont="1" applyFill="1" applyBorder="1"/>
    <xf numFmtId="165" fontId="2" fillId="31" borderId="20" xfId="0" applyNumberFormat="1" applyFont="1" applyFill="1" applyBorder="1" applyAlignment="1">
      <alignment horizontal="right" vertical="center"/>
    </xf>
    <xf numFmtId="174" fontId="48" fillId="32" borderId="0" xfId="4" applyNumberFormat="1" applyFont="1" applyFill="1"/>
    <xf numFmtId="0" fontId="48" fillId="33" borderId="0" xfId="0" applyFont="1" applyFill="1"/>
    <xf numFmtId="0" fontId="2" fillId="3" borderId="21" xfId="0" applyFont="1" applyFill="1" applyBorder="1" applyAlignment="1">
      <alignment horizontal="center" vertical="center"/>
    </xf>
    <xf numFmtId="166" fontId="5" fillId="18" borderId="2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6" fontId="85" fillId="33" borderId="21" xfId="1" applyNumberFormat="1" applyFont="1" applyFill="1" applyBorder="1"/>
    <xf numFmtId="165" fontId="1" fillId="0" borderId="15" xfId="0" applyNumberFormat="1" applyFont="1" applyFill="1" applyBorder="1" applyAlignment="1">
      <alignment horizontal="right" vertical="center"/>
    </xf>
    <xf numFmtId="0" fontId="87" fillId="27" borderId="88" xfId="0" applyFont="1" applyFill="1" applyBorder="1" applyAlignment="1">
      <alignment wrapText="1"/>
    </xf>
    <xf numFmtId="0" fontId="87" fillId="27" borderId="89" xfId="0" applyFont="1" applyFill="1" applyBorder="1" applyAlignment="1">
      <alignment wrapText="1"/>
    </xf>
    <xf numFmtId="0" fontId="87" fillId="27" borderId="48" xfId="0" applyFont="1" applyFill="1" applyBorder="1" applyAlignment="1">
      <alignment wrapText="1"/>
    </xf>
    <xf numFmtId="0" fontId="87" fillId="27" borderId="90" xfId="0" applyFont="1" applyFill="1" applyBorder="1" applyAlignment="1">
      <alignment wrapText="1"/>
    </xf>
    <xf numFmtId="0" fontId="87" fillId="27" borderId="91" xfId="0" applyFont="1" applyFill="1" applyBorder="1" applyAlignment="1">
      <alignment wrapText="1"/>
    </xf>
    <xf numFmtId="0" fontId="87" fillId="27" borderId="92" xfId="0" applyFont="1" applyFill="1" applyBorder="1" applyAlignment="1">
      <alignment wrapText="1"/>
    </xf>
    <xf numFmtId="166" fontId="3" fillId="0" borderId="0" xfId="1" applyNumberFormat="1" applyFont="1"/>
    <xf numFmtId="166" fontId="4" fillId="0" borderId="0" xfId="1" applyNumberFormat="1" applyFont="1" applyAlignment="1">
      <alignment horizontal="center"/>
    </xf>
    <xf numFmtId="3" fontId="88" fillId="0" borderId="29" xfId="0" applyNumberFormat="1" applyFont="1" applyFill="1" applyBorder="1" applyAlignment="1"/>
    <xf numFmtId="3" fontId="88" fillId="34" borderId="29" xfId="0" applyNumberFormat="1" applyFont="1" applyFill="1" applyBorder="1" applyAlignment="1"/>
    <xf numFmtId="3" fontId="88" fillId="21" borderId="29" xfId="0" applyNumberFormat="1" applyFont="1" applyFill="1" applyBorder="1" applyAlignment="1"/>
    <xf numFmtId="3" fontId="88" fillId="0" borderId="29" xfId="0" applyNumberFormat="1" applyFont="1" applyFill="1" applyBorder="1" applyAlignment="1">
      <alignment vertical="center"/>
    </xf>
    <xf numFmtId="3" fontId="88" fillId="34" borderId="29" xfId="0" applyNumberFormat="1" applyFont="1" applyFill="1" applyBorder="1" applyAlignment="1">
      <alignment vertical="center"/>
    </xf>
    <xf numFmtId="3" fontId="88" fillId="21" borderId="29" xfId="0" applyNumberFormat="1" applyFont="1" applyFill="1" applyBorder="1" applyAlignment="1">
      <alignment vertical="center"/>
    </xf>
    <xf numFmtId="3" fontId="88" fillId="34" borderId="39" xfId="0" applyNumberFormat="1" applyFont="1" applyFill="1" applyBorder="1" applyAlignment="1">
      <alignment horizontal="right" vertical="center"/>
    </xf>
    <xf numFmtId="3" fontId="88" fillId="21" borderId="39" xfId="0" applyNumberFormat="1" applyFont="1" applyFill="1" applyBorder="1" applyAlignment="1">
      <alignment horizontal="right" vertical="center"/>
    </xf>
    <xf numFmtId="3" fontId="88" fillId="0" borderId="38" xfId="0" applyNumberFormat="1" applyFont="1" applyFill="1" applyBorder="1" applyAlignment="1">
      <alignment horizontal="right" vertical="center"/>
    </xf>
    <xf numFmtId="165" fontId="1" fillId="12" borderId="17" xfId="0" applyNumberFormat="1" applyFont="1" applyFill="1" applyBorder="1" applyAlignment="1">
      <alignment horizontal="right" vertical="center"/>
    </xf>
    <xf numFmtId="174" fontId="89" fillId="33" borderId="21" xfId="4" applyNumberFormat="1" applyFont="1" applyFill="1" applyBorder="1"/>
    <xf numFmtId="167" fontId="86" fillId="0" borderId="15" xfId="0" applyNumberFormat="1" applyFont="1" applyFill="1" applyBorder="1" applyAlignment="1">
      <alignment horizontal="right" vertical="center"/>
    </xf>
    <xf numFmtId="167" fontId="3" fillId="0" borderId="15" xfId="0" applyNumberFormat="1" applyFont="1" applyFill="1" applyBorder="1" applyAlignment="1">
      <alignment horizontal="right" vertical="center"/>
    </xf>
    <xf numFmtId="167" fontId="3" fillId="0" borderId="16" xfId="0" applyNumberFormat="1" applyFont="1" applyFill="1" applyBorder="1" applyAlignment="1">
      <alignment vertical="center"/>
    </xf>
    <xf numFmtId="165" fontId="3" fillId="0" borderId="18" xfId="0" applyNumberFormat="1" applyFont="1" applyFill="1" applyBorder="1" applyAlignment="1">
      <alignment horizontal="right" vertical="center"/>
    </xf>
    <xf numFmtId="167" fontId="3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>
      <alignment horizontal="right" vertical="center"/>
    </xf>
    <xf numFmtId="167" fontId="3" fillId="0" borderId="18" xfId="0" applyNumberFormat="1" applyFont="1" applyFill="1" applyBorder="1" applyAlignment="1">
      <alignment horizontal="right" vertical="center"/>
    </xf>
    <xf numFmtId="165" fontId="86" fillId="0" borderId="32" xfId="0" applyNumberFormat="1" applyFont="1" applyFill="1" applyBorder="1" applyAlignment="1">
      <alignment horizontal="right" vertical="center"/>
    </xf>
    <xf numFmtId="165" fontId="1" fillId="0" borderId="111" xfId="0" applyNumberFormat="1" applyFont="1" applyFill="1" applyBorder="1" applyAlignment="1">
      <alignment horizontal="right" vertical="center"/>
    </xf>
    <xf numFmtId="165" fontId="81" fillId="0" borderId="17" xfId="0" applyNumberFormat="1" applyFont="1" applyFill="1" applyBorder="1" applyAlignment="1">
      <alignment horizontal="right" vertical="center"/>
    </xf>
    <xf numFmtId="165" fontId="86" fillId="12" borderId="17" xfId="0" applyNumberFormat="1" applyFont="1" applyFill="1" applyBorder="1" applyAlignment="1">
      <alignment horizontal="right" vertical="center"/>
    </xf>
    <xf numFmtId="167" fontId="86" fillId="12" borderId="18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/>
    <xf numFmtId="165" fontId="40" fillId="0" borderId="0" xfId="0" applyNumberFormat="1" applyFont="1" applyFill="1"/>
    <xf numFmtId="0" fontId="62" fillId="25" borderId="49" xfId="3" applyFont="1" applyFill="1" applyBorder="1" applyAlignment="1">
      <alignment horizontal="center" vertical="center"/>
    </xf>
    <xf numFmtId="0" fontId="61" fillId="25" borderId="23" xfId="0" applyFont="1" applyFill="1" applyBorder="1" applyAlignment="1">
      <alignment horizontal="center" vertical="center"/>
    </xf>
    <xf numFmtId="0" fontId="61" fillId="25" borderId="52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165" fontId="27" fillId="0" borderId="0" xfId="0" applyNumberFormat="1" applyFont="1" applyAlignment="1">
      <alignment horizontal="left"/>
    </xf>
    <xf numFmtId="0" fontId="12" fillId="0" borderId="21" xfId="0" applyNumberFormat="1" applyFont="1" applyFill="1" applyBorder="1" applyAlignment="1">
      <alignment horizontal="center"/>
    </xf>
    <xf numFmtId="0" fontId="90" fillId="0" borderId="0" xfId="0" applyFont="1" applyAlignment="1">
      <alignment horizontal="right"/>
    </xf>
    <xf numFmtId="165" fontId="90" fillId="0" borderId="0" xfId="0" applyNumberFormat="1" applyFont="1" applyFill="1"/>
    <xf numFmtId="0" fontId="44" fillId="35" borderId="0" xfId="0" quotePrefix="1" applyFont="1" applyFill="1"/>
    <xf numFmtId="0" fontId="58" fillId="35" borderId="0" xfId="0" applyFont="1" applyFill="1"/>
    <xf numFmtId="0" fontId="59" fillId="0" borderId="0" xfId="0" quotePrefix="1" applyFont="1"/>
    <xf numFmtId="0" fontId="62" fillId="25" borderId="113" xfId="3" applyFont="1" applyFill="1" applyBorder="1" applyAlignment="1">
      <alignment horizontal="center" vertical="center"/>
    </xf>
    <xf numFmtId="0" fontId="62" fillId="25" borderId="118" xfId="3" applyFont="1" applyFill="1" applyBorder="1" applyAlignment="1">
      <alignment horizontal="right" vertical="center"/>
    </xf>
    <xf numFmtId="0" fontId="63" fillId="0" borderId="119" xfId="3" applyFont="1" applyBorder="1" applyAlignment="1">
      <alignment vertical="center"/>
    </xf>
    <xf numFmtId="3" fontId="64" fillId="0" borderId="55" xfId="0" applyNumberFormat="1" applyFont="1" applyBorder="1" applyAlignment="1">
      <alignment horizontal="right" vertical="center"/>
    </xf>
    <xf numFmtId="3" fontId="63" fillId="35" borderId="56" xfId="0" applyNumberFormat="1" applyFont="1" applyFill="1" applyBorder="1" applyAlignment="1">
      <alignment horizontal="right" vertical="center"/>
    </xf>
    <xf numFmtId="3" fontId="64" fillId="35" borderId="58" xfId="0" applyNumberFormat="1" applyFont="1" applyFill="1" applyBorder="1" applyAlignment="1">
      <alignment horizontal="right" vertical="center"/>
    </xf>
    <xf numFmtId="0" fontId="63" fillId="0" borderId="120" xfId="3" applyFont="1" applyBorder="1" applyAlignment="1">
      <alignment vertical="center"/>
    </xf>
    <xf numFmtId="3" fontId="64" fillId="0" borderId="56" xfId="0" applyNumberFormat="1" applyFont="1" applyBorder="1" applyAlignment="1">
      <alignment horizontal="right" vertical="center"/>
    </xf>
    <xf numFmtId="0" fontId="65" fillId="0" borderId="120" xfId="3" applyFont="1" applyBorder="1" applyAlignment="1">
      <alignment vertical="center"/>
    </xf>
    <xf numFmtId="3" fontId="67" fillId="0" borderId="61" xfId="3" applyNumberFormat="1" applyFont="1" applyBorder="1" applyAlignment="1">
      <alignment horizontal="right" vertical="center"/>
    </xf>
    <xf numFmtId="0" fontId="63" fillId="0" borderId="119" xfId="3" applyFont="1" applyBorder="1" applyAlignment="1">
      <alignment horizontal="left" vertical="center"/>
    </xf>
    <xf numFmtId="3" fontId="63" fillId="35" borderId="55" xfId="0" applyNumberFormat="1" applyFont="1" applyFill="1" applyBorder="1" applyAlignment="1">
      <alignment horizontal="right" vertical="center"/>
    </xf>
    <xf numFmtId="0" fontId="65" fillId="0" borderId="120" xfId="3" applyFont="1" applyBorder="1" applyAlignment="1">
      <alignment horizontal="left" vertical="center"/>
    </xf>
    <xf numFmtId="0" fontId="65" fillId="0" borderId="121" xfId="3" applyFont="1" applyBorder="1" applyAlignment="1">
      <alignment horizontal="left" vertical="center"/>
    </xf>
    <xf numFmtId="0" fontId="63" fillId="0" borderId="120" xfId="3" applyFont="1" applyBorder="1" applyAlignment="1">
      <alignment horizontal="left" vertical="center"/>
    </xf>
    <xf numFmtId="0" fontId="66" fillId="0" borderId="122" xfId="3" applyFont="1" applyBorder="1" applyAlignment="1">
      <alignment horizontal="left" vertical="center"/>
    </xf>
    <xf numFmtId="3" fontId="67" fillId="0" borderId="123" xfId="3" applyNumberFormat="1" applyFont="1" applyBorder="1" applyAlignment="1">
      <alignment horizontal="right" vertical="center"/>
    </xf>
    <xf numFmtId="3" fontId="69" fillId="0" borderId="100" xfId="3" applyNumberFormat="1" applyFont="1" applyBorder="1" applyAlignment="1">
      <alignment horizontal="right" vertical="center"/>
    </xf>
    <xf numFmtId="3" fontId="69" fillId="0" borderId="89" xfId="3" applyNumberFormat="1" applyFont="1" applyBorder="1" applyAlignment="1">
      <alignment horizontal="right" vertical="center"/>
    </xf>
    <xf numFmtId="3" fontId="69" fillId="0" borderId="92" xfId="3" applyNumberFormat="1" applyFont="1" applyBorder="1" applyAlignment="1">
      <alignment horizontal="right" vertical="center"/>
    </xf>
    <xf numFmtId="0" fontId="68" fillId="0" borderId="0" xfId="3" applyFont="1" applyAlignment="1">
      <alignment horizontal="right" vertical="center"/>
    </xf>
    <xf numFmtId="0" fontId="65" fillId="0" borderId="0" xfId="3" applyFont="1" applyAlignment="1">
      <alignment horizontal="right" vertical="center"/>
    </xf>
    <xf numFmtId="3" fontId="69" fillId="0" borderId="0" xfId="3" applyNumberFormat="1" applyFont="1" applyAlignment="1">
      <alignment horizontal="right" vertical="center"/>
    </xf>
    <xf numFmtId="0" fontId="9" fillId="23" borderId="72" xfId="0" applyFont="1" applyFill="1" applyBorder="1" applyAlignment="1">
      <alignment horizontal="right" vertical="center"/>
    </xf>
    <xf numFmtId="0" fontId="9" fillId="23" borderId="71" xfId="0" applyFont="1" applyFill="1" applyBorder="1" applyAlignment="1">
      <alignment horizontal="right" vertical="center"/>
    </xf>
    <xf numFmtId="172" fontId="71" fillId="23" borderId="76" xfId="4" applyNumberFormat="1" applyFont="1" applyFill="1" applyBorder="1" applyAlignment="1">
      <alignment horizontal="right" vertical="center"/>
    </xf>
    <xf numFmtId="171" fontId="71" fillId="23" borderId="58" xfId="0" applyNumberFormat="1" applyFont="1" applyFill="1" applyBorder="1" applyAlignment="1">
      <alignment horizontal="right" vertical="center" wrapText="1"/>
    </xf>
    <xf numFmtId="172" fontId="10" fillId="0" borderId="0" xfId="0" applyNumberFormat="1" applyFont="1"/>
    <xf numFmtId="171" fontId="71" fillId="23" borderId="75" xfId="0" applyNumberFormat="1" applyFont="1" applyFill="1" applyBorder="1" applyAlignment="1">
      <alignment horizontal="right" vertical="center" wrapText="1"/>
    </xf>
    <xf numFmtId="175" fontId="70" fillId="23" borderId="83" xfId="0" applyNumberFormat="1" applyFont="1" applyFill="1" applyBorder="1" applyAlignment="1">
      <alignment horizontal="right" vertical="center" wrapText="1"/>
    </xf>
    <xf numFmtId="172" fontId="71" fillId="23" borderId="73" xfId="4" applyNumberFormat="1" applyFont="1" applyFill="1" applyBorder="1" applyAlignment="1">
      <alignment horizontal="right" vertical="center"/>
    </xf>
    <xf numFmtId="0" fontId="9" fillId="0" borderId="124" xfId="0" applyFont="1" applyBorder="1" applyAlignment="1">
      <alignment horizontal="left" vertical="center"/>
    </xf>
    <xf numFmtId="0" fontId="9" fillId="0" borderId="125" xfId="0" applyFont="1" applyBorder="1" applyAlignment="1">
      <alignment horizontal="right" vertical="center"/>
    </xf>
    <xf numFmtId="171" fontId="70" fillId="23" borderId="76" xfId="0" applyNumberFormat="1" applyFont="1" applyFill="1" applyBorder="1" applyAlignment="1">
      <alignment horizontal="right" vertical="center" wrapText="1"/>
    </xf>
    <xf numFmtId="165" fontId="63" fillId="23" borderId="56" xfId="0" applyNumberFormat="1" applyFont="1" applyFill="1" applyBorder="1" applyAlignment="1">
      <alignment horizontal="right" vertical="center"/>
    </xf>
    <xf numFmtId="165" fontId="64" fillId="23" borderId="56" xfId="0" applyNumberFormat="1" applyFont="1" applyFill="1" applyBorder="1" applyAlignment="1">
      <alignment horizontal="right" vertical="center"/>
    </xf>
    <xf numFmtId="165" fontId="63" fillId="23" borderId="86" xfId="0" applyNumberFormat="1" applyFont="1" applyFill="1" applyBorder="1" applyAlignment="1">
      <alignment horizontal="right" vertical="center"/>
    </xf>
    <xf numFmtId="165" fontId="64" fillId="23" borderId="86" xfId="0" applyNumberFormat="1" applyFont="1" applyFill="1" applyBorder="1" applyAlignment="1">
      <alignment horizontal="right" vertical="center"/>
    </xf>
    <xf numFmtId="165" fontId="66" fillId="23" borderId="56" xfId="0" applyNumberFormat="1" applyFont="1" applyFill="1" applyBorder="1" applyAlignment="1">
      <alignment horizontal="right" vertical="center"/>
    </xf>
    <xf numFmtId="165" fontId="67" fillId="23" borderId="56" xfId="0" applyNumberFormat="1" applyFont="1" applyFill="1" applyBorder="1" applyAlignment="1">
      <alignment horizontal="right" vertical="center"/>
    </xf>
    <xf numFmtId="165" fontId="63" fillId="23" borderId="84" xfId="0" applyNumberFormat="1" applyFont="1" applyFill="1" applyBorder="1" applyAlignment="1">
      <alignment horizontal="right" vertical="center"/>
    </xf>
    <xf numFmtId="165" fontId="64" fillId="23" borderId="84" xfId="0" applyNumberFormat="1" applyFont="1" applyFill="1" applyBorder="1" applyAlignment="1">
      <alignment horizontal="right" vertical="center"/>
    </xf>
    <xf numFmtId="165" fontId="63" fillId="23" borderId="85" xfId="0" applyNumberFormat="1" applyFont="1" applyFill="1" applyBorder="1" applyAlignment="1">
      <alignment horizontal="right" vertical="center"/>
    </xf>
    <xf numFmtId="165" fontId="64" fillId="23" borderId="85" xfId="0" applyNumberFormat="1" applyFont="1" applyFill="1" applyBorder="1" applyAlignment="1">
      <alignment horizontal="right" vertical="center"/>
    </xf>
    <xf numFmtId="165" fontId="64" fillId="0" borderId="0" xfId="0" applyNumberFormat="1" applyFont="1" applyAlignment="1">
      <alignment horizontal="right" vertical="center"/>
    </xf>
    <xf numFmtId="165" fontId="67" fillId="0" borderId="0" xfId="0" applyNumberFormat="1" applyFont="1" applyAlignment="1">
      <alignment horizontal="right" vertical="center"/>
    </xf>
    <xf numFmtId="0" fontId="68" fillId="0" borderId="127" xfId="3" applyFont="1" applyBorder="1" applyAlignment="1">
      <alignment horizontal="right" vertical="center"/>
    </xf>
    <xf numFmtId="0" fontId="65" fillId="0" borderId="128" xfId="3" applyFont="1" applyBorder="1" applyAlignment="1">
      <alignment horizontal="right" vertical="center"/>
    </xf>
    <xf numFmtId="165" fontId="76" fillId="23" borderId="62" xfId="0" applyNumberFormat="1" applyFont="1" applyFill="1" applyBorder="1" applyAlignment="1">
      <alignment horizontal="right" vertical="center"/>
    </xf>
    <xf numFmtId="165" fontId="76" fillId="0" borderId="0" xfId="0" applyNumberFormat="1" applyFont="1" applyAlignment="1">
      <alignment horizontal="right" vertical="center"/>
    </xf>
    <xf numFmtId="0" fontId="63" fillId="0" borderId="0" xfId="3" applyFont="1" applyAlignment="1">
      <alignment horizontal="left" vertical="center"/>
    </xf>
    <xf numFmtId="165" fontId="63" fillId="0" borderId="0" xfId="3" applyNumberFormat="1" applyFont="1" applyAlignment="1">
      <alignment horizontal="left" vertical="center"/>
    </xf>
    <xf numFmtId="0" fontId="9" fillId="23" borderId="70" xfId="0" applyFont="1" applyFill="1" applyBorder="1" applyAlignment="1">
      <alignment horizontal="right" vertical="center"/>
    </xf>
    <xf numFmtId="0" fontId="10" fillId="0" borderId="74" xfId="0" applyFont="1" applyBorder="1" applyAlignment="1">
      <alignment vertical="center"/>
    </xf>
    <xf numFmtId="2" fontId="71" fillId="23" borderId="76" xfId="0" applyNumberFormat="1" applyFont="1" applyFill="1" applyBorder="1" applyAlignment="1">
      <alignment horizontal="right" vertical="center"/>
    </xf>
    <xf numFmtId="0" fontId="10" fillId="0" borderId="7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2" fontId="73" fillId="23" borderId="76" xfId="0" applyNumberFormat="1" applyFont="1" applyFill="1" applyBorder="1" applyAlignment="1">
      <alignment horizontal="right" vertical="center"/>
    </xf>
    <xf numFmtId="2" fontId="73" fillId="23" borderId="79" xfId="0" applyNumberFormat="1" applyFont="1" applyFill="1" applyBorder="1" applyAlignment="1">
      <alignment horizontal="right" vertical="center"/>
    </xf>
    <xf numFmtId="10" fontId="82" fillId="0" borderId="0" xfId="5" applyNumberFormat="1" applyFont="1"/>
    <xf numFmtId="2" fontId="74" fillId="23" borderId="131" xfId="0" applyNumberFormat="1" applyFont="1" applyFill="1" applyBorder="1" applyAlignment="1">
      <alignment horizontal="right" vertical="center"/>
    </xf>
    <xf numFmtId="171" fontId="74" fillId="23" borderId="131" xfId="0" applyNumberFormat="1" applyFont="1" applyFill="1" applyBorder="1" applyAlignment="1">
      <alignment horizontal="right" vertical="center"/>
    </xf>
    <xf numFmtId="171" fontId="74" fillId="23" borderId="132" xfId="0" applyNumberFormat="1" applyFont="1" applyFill="1" applyBorder="1" applyAlignment="1">
      <alignment horizontal="right" vertical="center" wrapText="1"/>
    </xf>
    <xf numFmtId="171" fontId="74" fillId="23" borderId="133" xfId="0" applyNumberFormat="1" applyFont="1" applyFill="1" applyBorder="1" applyAlignment="1">
      <alignment horizontal="right" vertical="center" wrapText="1"/>
    </xf>
    <xf numFmtId="171" fontId="72" fillId="23" borderId="131" xfId="0" applyNumberFormat="1" applyFont="1" applyFill="1" applyBorder="1" applyAlignment="1">
      <alignment horizontal="right" vertical="center" wrapText="1"/>
    </xf>
    <xf numFmtId="3" fontId="63" fillId="0" borderId="56" xfId="0" applyNumberFormat="1" applyFont="1" applyBorder="1" applyAlignment="1">
      <alignment horizontal="right" vertical="center"/>
    </xf>
    <xf numFmtId="3" fontId="66" fillId="0" borderId="61" xfId="3" applyNumberFormat="1" applyFont="1" applyBorder="1" applyAlignment="1">
      <alignment horizontal="right" vertical="center"/>
    </xf>
    <xf numFmtId="3" fontId="63" fillId="0" borderId="55" xfId="0" applyNumberFormat="1" applyFont="1" applyBorder="1" applyAlignment="1">
      <alignment horizontal="right" vertical="center"/>
    </xf>
    <xf numFmtId="3" fontId="66" fillId="0" borderId="123" xfId="3" applyNumberFormat="1" applyFont="1" applyBorder="1" applyAlignment="1">
      <alignment horizontal="right" vertical="center"/>
    </xf>
    <xf numFmtId="3" fontId="69" fillId="0" borderId="136" xfId="3" applyNumberFormat="1" applyFont="1" applyBorder="1" applyAlignment="1">
      <alignment horizontal="right" vertical="center"/>
    </xf>
    <xf numFmtId="3" fontId="69" fillId="0" borderId="137" xfId="3" applyNumberFormat="1" applyFont="1" applyBorder="1" applyAlignment="1">
      <alignment horizontal="right" vertical="center"/>
    </xf>
    <xf numFmtId="171" fontId="74" fillId="23" borderId="76" xfId="0" applyNumberFormat="1" applyFont="1" applyFill="1" applyBorder="1" applyAlignment="1">
      <alignment horizontal="right" vertical="center"/>
    </xf>
    <xf numFmtId="3" fontId="9" fillId="23" borderId="140" xfId="0" applyNumberFormat="1" applyFont="1" applyFill="1" applyBorder="1" applyAlignment="1">
      <alignment horizontal="right" vertical="center"/>
    </xf>
    <xf numFmtId="171" fontId="74" fillId="12" borderId="58" xfId="0" applyNumberFormat="1" applyFont="1" applyFill="1" applyBorder="1" applyAlignment="1">
      <alignment horizontal="right" vertical="center" wrapText="1"/>
    </xf>
    <xf numFmtId="3" fontId="71" fillId="23" borderId="101" xfId="0" applyNumberFormat="1" applyFont="1" applyFill="1" applyBorder="1" applyAlignment="1">
      <alignment horizontal="right" vertical="center"/>
    </xf>
    <xf numFmtId="3" fontId="74" fillId="23" borderId="105" xfId="0" applyNumberFormat="1" applyFont="1" applyFill="1" applyBorder="1" applyAlignment="1">
      <alignment horizontal="right" vertical="center"/>
    </xf>
    <xf numFmtId="171" fontId="74" fillId="23" borderId="105" xfId="0" applyNumberFormat="1" applyFont="1" applyFill="1" applyBorder="1" applyAlignment="1">
      <alignment horizontal="right" vertical="center"/>
    </xf>
    <xf numFmtId="1" fontId="9" fillId="23" borderId="105" xfId="0" applyNumberFormat="1" applyFont="1" applyFill="1" applyBorder="1" applyAlignment="1">
      <alignment horizontal="right" vertical="center"/>
    </xf>
    <xf numFmtId="171" fontId="74" fillId="23" borderId="106" xfId="0" applyNumberFormat="1" applyFont="1" applyFill="1" applyBorder="1" applyAlignment="1">
      <alignment horizontal="right" vertical="center" wrapText="1"/>
    </xf>
    <xf numFmtId="166" fontId="74" fillId="23" borderId="107" xfId="1" applyNumberFormat="1" applyFont="1" applyFill="1" applyBorder="1" applyAlignment="1">
      <alignment horizontal="right" vertical="center" wrapText="1"/>
    </xf>
    <xf numFmtId="166" fontId="10" fillId="0" borderId="0" xfId="0" applyNumberFormat="1" applyFont="1"/>
    <xf numFmtId="165" fontId="34" fillId="19" borderId="21" xfId="0" applyNumberFormat="1" applyFont="1" applyFill="1" applyBorder="1"/>
    <xf numFmtId="4" fontId="0" fillId="29" borderId="21" xfId="0" applyNumberFormat="1" applyFill="1" applyBorder="1"/>
    <xf numFmtId="0" fontId="9" fillId="36" borderId="0" xfId="0" applyFont="1" applyFill="1" applyAlignment="1">
      <alignment vertical="center"/>
    </xf>
    <xf numFmtId="165" fontId="14" fillId="36" borderId="0" xfId="0" applyNumberFormat="1" applyFont="1" applyFill="1"/>
    <xf numFmtId="165" fontId="15" fillId="36" borderId="0" xfId="0" applyNumberFormat="1" applyFont="1" applyFill="1"/>
    <xf numFmtId="165" fontId="16" fillId="36" borderId="0" xfId="0" applyNumberFormat="1" applyFont="1" applyFill="1"/>
    <xf numFmtId="165" fontId="0" fillId="36" borderId="0" xfId="0" applyNumberFormat="1" applyFill="1"/>
    <xf numFmtId="165" fontId="17" fillId="36" borderId="0" xfId="0" applyNumberFormat="1" applyFont="1" applyFill="1"/>
    <xf numFmtId="165" fontId="18" fillId="36" borderId="0" xfId="0" applyNumberFormat="1" applyFont="1" applyFill="1"/>
    <xf numFmtId="165" fontId="46" fillId="36" borderId="0" xfId="0" applyNumberFormat="1" applyFont="1" applyFill="1"/>
    <xf numFmtId="165" fontId="19" fillId="36" borderId="0" xfId="0" applyNumberFormat="1" applyFont="1" applyFill="1"/>
    <xf numFmtId="165" fontId="20" fillId="36" borderId="0" xfId="0" applyNumberFormat="1" applyFont="1" applyFill="1"/>
    <xf numFmtId="165" fontId="21" fillId="36" borderId="0" xfId="0" applyNumberFormat="1" applyFont="1" applyFill="1"/>
    <xf numFmtId="165" fontId="22" fillId="36" borderId="0" xfId="0" applyNumberFormat="1" applyFont="1" applyFill="1"/>
    <xf numFmtId="165" fontId="23" fillId="36" borderId="0" xfId="0" applyNumberFormat="1" applyFont="1" applyFill="1"/>
    <xf numFmtId="165" fontId="24" fillId="36" borderId="0" xfId="0" applyNumberFormat="1" applyFont="1" applyFill="1"/>
    <xf numFmtId="165" fontId="25" fillId="36" borderId="0" xfId="0" applyNumberFormat="1" applyFont="1" applyFill="1"/>
    <xf numFmtId="165" fontId="40" fillId="36" borderId="0" xfId="0" applyNumberFormat="1" applyFont="1" applyFill="1"/>
    <xf numFmtId="165" fontId="41" fillId="36" borderId="0" xfId="0" applyNumberFormat="1" applyFont="1" applyFill="1"/>
    <xf numFmtId="0" fontId="93" fillId="37" borderId="21" xfId="0" applyFont="1" applyFill="1" applyBorder="1" applyAlignment="1">
      <alignment horizontal="center"/>
    </xf>
    <xf numFmtId="169" fontId="2" fillId="23" borderId="0" xfId="0" applyNumberFormat="1" applyFont="1" applyFill="1"/>
    <xf numFmtId="0" fontId="55" fillId="0" borderId="0" xfId="0" applyNumberFormat="1" applyFont="1"/>
    <xf numFmtId="0" fontId="94" fillId="0" borderId="0" xfId="0" applyFont="1"/>
    <xf numFmtId="0" fontId="85" fillId="33" borderId="33" xfId="0" applyFont="1" applyFill="1" applyBorder="1" applyAlignment="1">
      <alignment horizontal="left" indent="2"/>
    </xf>
    <xf numFmtId="0" fontId="2" fillId="3" borderId="2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8" fontId="0" fillId="0" borderId="21" xfId="0" applyNumberFormat="1" applyFill="1" applyBorder="1"/>
    <xf numFmtId="168" fontId="78" fillId="33" borderId="21" xfId="0" applyNumberFormat="1" applyFont="1" applyFill="1" applyBorder="1"/>
    <xf numFmtId="168" fontId="48" fillId="22" borderId="42" xfId="0" applyNumberFormat="1" applyFont="1" applyFill="1" applyBorder="1"/>
    <xf numFmtId="166" fontId="0" fillId="0" borderId="21" xfId="0" applyNumberFormat="1" applyFill="1" applyBorder="1"/>
    <xf numFmtId="166" fontId="0" fillId="28" borderId="21" xfId="0" applyNumberFormat="1" applyFill="1" applyBorder="1"/>
    <xf numFmtId="174" fontId="89" fillId="38" borderId="21" xfId="4" applyNumberFormat="1" applyFont="1" applyFill="1" applyBorder="1"/>
    <xf numFmtId="174" fontId="89" fillId="22" borderId="21" xfId="4" applyNumberFormat="1" applyFont="1" applyFill="1" applyBorder="1"/>
    <xf numFmtId="174" fontId="48" fillId="38" borderId="21" xfId="4" applyNumberFormat="1" applyFont="1" applyFill="1" applyBorder="1"/>
    <xf numFmtId="174" fontId="48" fillId="33" borderId="21" xfId="4" applyNumberFormat="1" applyFont="1" applyFill="1" applyBorder="1"/>
    <xf numFmtId="174" fontId="78" fillId="33" borderId="21" xfId="4" applyNumberFormat="1" applyFont="1" applyFill="1" applyBorder="1"/>
    <xf numFmtId="166" fontId="78" fillId="33" borderId="21" xfId="1" applyNumberFormat="1" applyFont="1" applyFill="1" applyBorder="1"/>
    <xf numFmtId="166" fontId="48" fillId="33" borderId="21" xfId="1" applyNumberFormat="1" applyFont="1" applyFill="1" applyBorder="1"/>
    <xf numFmtId="0" fontId="9" fillId="30" borderId="27" xfId="0" applyFont="1" applyFill="1" applyBorder="1" applyAlignment="1">
      <alignment horizontal="center"/>
    </xf>
    <xf numFmtId="0" fontId="9" fillId="30" borderId="28" xfId="0" applyFont="1" applyFill="1" applyBorder="1" applyAlignment="1">
      <alignment horizontal="center"/>
    </xf>
    <xf numFmtId="0" fontId="9" fillId="30" borderId="48" xfId="0" applyFont="1" applyFill="1" applyBorder="1" applyAlignment="1">
      <alignment horizontal="center"/>
    </xf>
    <xf numFmtId="0" fontId="9" fillId="30" borderId="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/>
    </xf>
    <xf numFmtId="0" fontId="0" fillId="6" borderId="21" xfId="0" applyFill="1" applyBorder="1" applyAlignment="1"/>
    <xf numFmtId="0" fontId="45" fillId="6" borderId="21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/>
    </xf>
    <xf numFmtId="3" fontId="8" fillId="8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9" fillId="4" borderId="27" xfId="0" applyFont="1" applyFill="1" applyBorder="1" applyAlignment="1">
      <alignment horizontal="center" wrapText="1"/>
    </xf>
    <xf numFmtId="0" fontId="9" fillId="4" borderId="40" xfId="0" applyFont="1" applyFill="1" applyBorder="1" applyAlignment="1">
      <alignment horizontal="center" wrapText="1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 wrapText="1"/>
    </xf>
    <xf numFmtId="0" fontId="9" fillId="15" borderId="44" xfId="0" applyFont="1" applyFill="1" applyBorder="1" applyAlignment="1">
      <alignment horizontal="right" vertical="center" wrapText="1"/>
    </xf>
    <xf numFmtId="0" fontId="9" fillId="15" borderId="45" xfId="0" applyFont="1" applyFill="1" applyBorder="1" applyAlignment="1">
      <alignment horizontal="right" vertical="center" wrapText="1"/>
    </xf>
    <xf numFmtId="0" fontId="9" fillId="15" borderId="47" xfId="0" applyFont="1" applyFill="1" applyBorder="1" applyAlignment="1">
      <alignment horizontal="right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right" vertical="center" wrapText="1"/>
    </xf>
    <xf numFmtId="0" fontId="9" fillId="14" borderId="45" xfId="0" applyFont="1" applyFill="1" applyBorder="1" applyAlignment="1">
      <alignment horizontal="right" vertical="center" wrapText="1"/>
    </xf>
    <xf numFmtId="0" fontId="9" fillId="14" borderId="47" xfId="0" applyFont="1" applyFill="1" applyBorder="1" applyAlignment="1">
      <alignment horizontal="right" vertical="center" wrapText="1"/>
    </xf>
    <xf numFmtId="0" fontId="60" fillId="25" borderId="88" xfId="0" applyFont="1" applyFill="1" applyBorder="1" applyAlignment="1">
      <alignment horizontal="center" vertical="center" wrapText="1"/>
    </xf>
    <xf numFmtId="0" fontId="61" fillId="25" borderId="112" xfId="0" applyFont="1" applyFill="1" applyBorder="1" applyAlignment="1">
      <alignment horizontal="center" vertical="center"/>
    </xf>
    <xf numFmtId="0" fontId="60" fillId="25" borderId="117" xfId="0" applyFont="1" applyFill="1" applyBorder="1" applyAlignment="1">
      <alignment horizontal="center" vertical="center"/>
    </xf>
    <xf numFmtId="0" fontId="61" fillId="25" borderId="52" xfId="0" applyFont="1" applyFill="1" applyBorder="1" applyAlignment="1">
      <alignment horizontal="center" vertical="center"/>
    </xf>
    <xf numFmtId="0" fontId="62" fillId="25" borderId="114" xfId="3" applyFont="1" applyFill="1" applyBorder="1" applyAlignment="1">
      <alignment horizontal="center" vertical="center"/>
    </xf>
    <xf numFmtId="0" fontId="62" fillId="25" borderId="115" xfId="3" applyFont="1" applyFill="1" applyBorder="1" applyAlignment="1">
      <alignment horizontal="center" vertical="center"/>
    </xf>
    <xf numFmtId="0" fontId="62" fillId="25" borderId="116" xfId="3" applyFont="1" applyFill="1" applyBorder="1" applyAlignment="1">
      <alignment horizontal="center" vertical="center"/>
    </xf>
    <xf numFmtId="0" fontId="68" fillId="0" borderId="88" xfId="3" applyFont="1" applyBorder="1" applyAlignment="1">
      <alignment horizontal="center" vertical="center"/>
    </xf>
    <xf numFmtId="0" fontId="68" fillId="0" borderId="89" xfId="3" applyFont="1" applyBorder="1" applyAlignment="1">
      <alignment horizontal="center" vertical="center"/>
    </xf>
    <xf numFmtId="0" fontId="63" fillId="0" borderId="54" xfId="3" applyFont="1" applyBorder="1" applyAlignment="1">
      <alignment horizontal="center" vertical="center"/>
    </xf>
    <xf numFmtId="0" fontId="63" fillId="0" borderId="57" xfId="3" applyFont="1" applyBorder="1" applyAlignment="1">
      <alignment horizontal="center" vertical="center"/>
    </xf>
    <xf numFmtId="0" fontId="63" fillId="0" borderId="59" xfId="3" applyFont="1" applyBorder="1" applyAlignment="1">
      <alignment horizontal="center" vertical="center"/>
    </xf>
    <xf numFmtId="0" fontId="10" fillId="23" borderId="65" xfId="0" applyFont="1" applyFill="1" applyBorder="1" applyAlignment="1">
      <alignment horizontal="center" vertical="center"/>
    </xf>
    <xf numFmtId="0" fontId="10" fillId="23" borderId="66" xfId="0" applyFont="1" applyFill="1" applyBorder="1" applyAlignment="1">
      <alignment horizontal="center" vertical="center"/>
    </xf>
    <xf numFmtId="0" fontId="10" fillId="23" borderId="63" xfId="0" applyFont="1" applyFill="1" applyBorder="1" applyAlignment="1">
      <alignment horizontal="center" vertical="center"/>
    </xf>
    <xf numFmtId="0" fontId="10" fillId="23" borderId="95" xfId="0" applyFont="1" applyFill="1" applyBorder="1" applyAlignment="1">
      <alignment horizontal="center" vertical="center"/>
    </xf>
    <xf numFmtId="0" fontId="10" fillId="23" borderId="64" xfId="0" applyFont="1" applyFill="1" applyBorder="1" applyAlignment="1">
      <alignment horizontal="center" vertical="center"/>
    </xf>
    <xf numFmtId="0" fontId="70" fillId="23" borderId="67" xfId="0" applyFont="1" applyFill="1" applyBorder="1" applyAlignment="1">
      <alignment horizontal="center" vertical="center" wrapText="1"/>
    </xf>
    <xf numFmtId="0" fontId="70" fillId="23" borderId="73" xfId="0" applyFont="1" applyFill="1" applyBorder="1" applyAlignment="1">
      <alignment horizontal="center" vertical="center" wrapText="1"/>
    </xf>
    <xf numFmtId="0" fontId="60" fillId="25" borderId="6" xfId="0" applyFont="1" applyFill="1" applyBorder="1" applyAlignment="1">
      <alignment horizontal="center" vertical="center" wrapText="1"/>
    </xf>
    <xf numFmtId="0" fontId="60" fillId="25" borderId="126" xfId="0" applyFont="1" applyFill="1" applyBorder="1" applyAlignment="1">
      <alignment horizontal="center" vertical="center" wrapText="1"/>
    </xf>
    <xf numFmtId="0" fontId="62" fillId="25" borderId="50" xfId="3" applyFont="1" applyFill="1" applyBorder="1" applyAlignment="1">
      <alignment horizontal="center" vertical="center"/>
    </xf>
    <xf numFmtId="0" fontId="62" fillId="25" borderId="51" xfId="3" applyFont="1" applyFill="1" applyBorder="1" applyAlignment="1">
      <alignment horizontal="center" vertical="center"/>
    </xf>
    <xf numFmtId="0" fontId="62" fillId="25" borderId="49" xfId="3" applyFont="1" applyFill="1" applyBorder="1" applyAlignment="1">
      <alignment horizontal="center" vertical="center"/>
    </xf>
    <xf numFmtId="0" fontId="10" fillId="0" borderId="74" xfId="0" applyFont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70" fillId="23" borderId="67" xfId="0" applyFont="1" applyFill="1" applyBorder="1" applyAlignment="1">
      <alignment horizontal="right" vertical="center" wrapText="1"/>
    </xf>
    <xf numFmtId="0" fontId="70" fillId="23" borderId="73" xfId="0" applyFont="1" applyFill="1" applyBorder="1" applyAlignment="1">
      <alignment horizontal="right" vertical="center" wrapText="1"/>
    </xf>
    <xf numFmtId="0" fontId="63" fillId="0" borderId="54" xfId="3" applyFont="1" applyBorder="1" applyAlignment="1">
      <alignment horizontal="left" vertical="center"/>
    </xf>
    <xf numFmtId="0" fontId="63" fillId="0" borderId="57" xfId="3" applyFont="1" applyBorder="1" applyAlignment="1">
      <alignment horizontal="left" vertical="center"/>
    </xf>
    <xf numFmtId="0" fontId="63" fillId="0" borderId="59" xfId="3" applyFont="1" applyBorder="1" applyAlignment="1">
      <alignment horizontal="left" vertical="center"/>
    </xf>
    <xf numFmtId="0" fontId="65" fillId="0" borderId="57" xfId="3" applyFont="1" applyBorder="1" applyAlignment="1">
      <alignment horizontal="left" vertical="center"/>
    </xf>
    <xf numFmtId="0" fontId="65" fillId="0" borderId="59" xfId="3" applyFont="1" applyBorder="1" applyAlignment="1">
      <alignment horizontal="left" vertical="center"/>
    </xf>
    <xf numFmtId="0" fontId="68" fillId="0" borderId="134" xfId="3" applyFont="1" applyBorder="1" applyAlignment="1">
      <alignment horizontal="center" vertical="center"/>
    </xf>
    <xf numFmtId="0" fontId="68" fillId="0" borderId="135" xfId="3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0" fillId="0" borderId="141" xfId="0" applyBorder="1"/>
    <xf numFmtId="0" fontId="0" fillId="0" borderId="142" xfId="0" applyBorder="1"/>
    <xf numFmtId="0" fontId="0" fillId="18" borderId="0" xfId="0" applyFill="1"/>
    <xf numFmtId="0" fontId="0" fillId="0" borderId="144" xfId="0" applyBorder="1"/>
    <xf numFmtId="0" fontId="0" fillId="0" borderId="145" xfId="0" applyBorder="1"/>
    <xf numFmtId="0" fontId="96" fillId="0" borderId="144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6" fillId="0" borderId="145" xfId="0" applyFont="1" applyBorder="1" applyAlignment="1">
      <alignment horizontal="center" vertical="center"/>
    </xf>
    <xf numFmtId="0" fontId="97" fillId="0" borderId="144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97" fillId="0" borderId="145" xfId="0" applyFont="1" applyBorder="1" applyAlignment="1">
      <alignment horizontal="center"/>
    </xf>
    <xf numFmtId="0" fontId="1" fillId="0" borderId="145" xfId="0" applyFont="1" applyBorder="1"/>
    <xf numFmtId="0" fontId="98" fillId="0" borderId="144" xfId="0" applyFont="1" applyBorder="1" applyAlignment="1">
      <alignment vertical="center"/>
    </xf>
    <xf numFmtId="0" fontId="101" fillId="0" borderId="144" xfId="6" applyFont="1" applyBorder="1" applyAlignment="1" applyProtection="1">
      <alignment vertical="center"/>
    </xf>
    <xf numFmtId="0" fontId="88" fillId="0" borderId="144" xfId="0" applyFont="1" applyBorder="1" applyAlignment="1">
      <alignment vertical="center"/>
    </xf>
    <xf numFmtId="0" fontId="95" fillId="0" borderId="144" xfId="6" applyBorder="1" applyAlignment="1" applyProtection="1">
      <alignment vertical="center"/>
    </xf>
    <xf numFmtId="0" fontId="1" fillId="0" borderId="144" xfId="6" applyFont="1" applyBorder="1" applyAlignment="1" applyProtection="1">
      <alignment vertical="center"/>
    </xf>
    <xf numFmtId="0" fontId="1" fillId="0" borderId="144" xfId="0" applyFont="1" applyBorder="1" applyAlignment="1">
      <alignment vertical="center"/>
    </xf>
    <xf numFmtId="0" fontId="0" fillId="0" borderId="146" xfId="0" applyBorder="1"/>
    <xf numFmtId="0" fontId="0" fillId="0" borderId="147" xfId="0" applyBorder="1"/>
    <xf numFmtId="0" fontId="0" fillId="0" borderId="148" xfId="0" applyBorder="1"/>
    <xf numFmtId="17" fontId="102" fillId="0" borderId="143" xfId="0" quotePrefix="1" applyNumberFormat="1" applyFont="1" applyBorder="1" applyAlignment="1">
      <alignment horizontal="right"/>
    </xf>
  </cellXfs>
  <cellStyles count="7">
    <cellStyle name="Lien hypertexte" xfId="6" builtinId="8"/>
    <cellStyle name="Milliers" xfId="4" builtinId="3"/>
    <cellStyle name="Normal" xfId="0" builtinId="0"/>
    <cellStyle name="Normal 2" xfId="3" xr:uid="{00000000-0005-0000-0000-000002000000}"/>
    <cellStyle name="Pourcentage" xfId="1" builtinId="5"/>
    <cellStyle name="Pourcentage 2" xfId="2" xr:uid="{00000000-0005-0000-0000-000004000000}"/>
    <cellStyle name="Pourcentage 2 2" xfId="5" xr:uid="{00000000-0005-0000-0000-000005000000}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67218654523444E-2"/>
          <c:y val="5.2909806160084345E-2"/>
          <c:w val="0.81551549518307953"/>
          <c:h val="0.78388726452924795"/>
        </c:manualLayout>
      </c:layout>
      <c:barChart>
        <c:barDir val="col"/>
        <c:grouping val="clustered"/>
        <c:varyColors val="0"/>
        <c:ser>
          <c:idx val="0"/>
          <c:order val="0"/>
          <c:tx>
            <c:v>Recettes totales (hors contribution RG)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0AC-4038-A0FA-597624B61B06}"/>
              </c:ext>
            </c:extLst>
          </c:dPt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50AC-4038-A0FA-597624B61B06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50AC-4038-A0FA-597624B61B06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6-50AC-4038-A0FA-597624B61B06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8-50AC-4038-A0FA-597624B61B06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A-50AC-4038-A0FA-597624B61B06}"/>
              </c:ext>
            </c:extLst>
          </c:dPt>
          <c:dLbls>
            <c:dLbl>
              <c:idx val="1"/>
              <c:layout>
                <c:manualLayout>
                  <c:x val="3.1419231443956797E-17"/>
                  <c:y val="4.2098869872670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AC-4038-A0FA-597624B61B06}"/>
                </c:ext>
              </c:extLst>
            </c:dLbl>
            <c:dLbl>
              <c:idx val="2"/>
              <c:layout>
                <c:manualLayout>
                  <c:x val="4.0466067893030417E-4"/>
                  <c:y val="4.6945747791326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AC-4038-A0FA-597624B61B06}"/>
                </c:ext>
              </c:extLst>
            </c:dLbl>
            <c:dLbl>
              <c:idx val="3"/>
              <c:layout>
                <c:manualLayout>
                  <c:x val="0"/>
                  <c:y val="9.8821620051404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AC-4038-A0FA-597624B61B06}"/>
                </c:ext>
              </c:extLst>
            </c:dLbl>
            <c:dLbl>
              <c:idx val="4"/>
              <c:layout>
                <c:manualLayout>
                  <c:x val="-3.5088411443350374E-3"/>
                  <c:y val="-1.4300538014143784E-3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AC-4038-A0FA-597624B61B06}"/>
                </c:ext>
              </c:extLst>
            </c:dLbl>
            <c:dLbl>
              <c:idx val="5"/>
              <c:layout>
                <c:manualLayout>
                  <c:x val="4.8588874416497355E-2"/>
                  <c:y val="2.9010775362481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AC-4038-A0FA-597624B61B06}"/>
                </c:ext>
              </c:extLst>
            </c:dLbl>
            <c:spPr>
              <a:solidFill>
                <a:schemeClr val="accent1">
                  <a:lumMod val="75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 NET'!$B$28:$G$28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'RESULTAT NET'!$C$4:$H$4</c:f>
              <c:numCache>
                <c:formatCode>#\ ##0.0</c:formatCode>
                <c:ptCount val="6"/>
                <c:pt idx="0">
                  <c:v>15522.195876170003</c:v>
                </c:pt>
                <c:pt idx="1">
                  <c:v>15757.931422612723</c:v>
                </c:pt>
                <c:pt idx="2">
                  <c:v>16246.290900837324</c:v>
                </c:pt>
                <c:pt idx="3">
                  <c:v>16706.73832035037</c:v>
                </c:pt>
                <c:pt idx="4">
                  <c:v>17135.326678053327</c:v>
                </c:pt>
                <c:pt idx="5">
                  <c:v>17557.680355486573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0AC-4038-A0FA-597624B61B06}"/>
            </c:ext>
          </c:extLst>
        </c:ser>
        <c:ser>
          <c:idx val="2"/>
          <c:order val="2"/>
          <c:tx>
            <c:v>Cotisations sociales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50AC-4038-A0FA-597624B61B06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50AC-4038-A0FA-597624B61B06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1-50AC-4038-A0FA-597624B61B06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3-50AC-4038-A0FA-597624B61B06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50AC-4038-A0FA-597624B61B06}"/>
              </c:ext>
            </c:extLst>
          </c:dPt>
          <c:dLbls>
            <c:dLbl>
              <c:idx val="0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0AC-4038-A0FA-597624B61B06}"/>
                </c:ext>
              </c:extLst>
            </c:dLbl>
            <c:dLbl>
              <c:idx val="1"/>
              <c:layout>
                <c:manualLayout>
                  <c:x val="2.513801159470451E-2"/>
                  <c:y val="8.916491072418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AC-4038-A0FA-597624B61B06}"/>
                </c:ext>
              </c:extLst>
            </c:dLbl>
            <c:dLbl>
              <c:idx val="2"/>
              <c:layout>
                <c:manualLayout>
                  <c:x val="2.891566265060241E-2"/>
                  <c:y val="5.1679586563307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AC-4038-A0FA-597624B61B06}"/>
                </c:ext>
              </c:extLst>
            </c:dLbl>
            <c:dLbl>
              <c:idx val="3"/>
              <c:layout>
                <c:manualLayout>
                  <c:x val="2.2489959839357431E-2"/>
                  <c:y val="2.960775443725579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0AC-4038-A0FA-597624B61B06}"/>
                </c:ext>
              </c:extLst>
            </c:dLbl>
            <c:dLbl>
              <c:idx val="4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AC-4038-A0FA-597624B61B06}"/>
                </c:ext>
              </c:extLst>
            </c:dLbl>
            <c:dLbl>
              <c:idx val="5"/>
              <c:layout>
                <c:manualLayout>
                  <c:x val="2.8915662650602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AC-4038-A0FA-597624B61B06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 NET'!$B$28:$G$28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'RESULTAT NET'!$C$5:$H$5</c:f>
              <c:numCache>
                <c:formatCode>#\ ##0.0</c:formatCode>
                <c:ptCount val="6"/>
                <c:pt idx="0">
                  <c:v>5944.3958786200001</c:v>
                </c:pt>
                <c:pt idx="1">
                  <c:v>6218.9082813335908</c:v>
                </c:pt>
                <c:pt idx="2">
                  <c:v>6393.608755523017</c:v>
                </c:pt>
                <c:pt idx="3">
                  <c:v>6480.9916585430647</c:v>
                </c:pt>
                <c:pt idx="4">
                  <c:v>6575.6097067040691</c:v>
                </c:pt>
                <c:pt idx="5">
                  <c:v>6670.7856079965532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0AC-4038-A0FA-597624B61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98240"/>
        <c:axId val="138996672"/>
      </c:barChart>
      <c:lineChart>
        <c:grouping val="standard"/>
        <c:varyColors val="0"/>
        <c:ser>
          <c:idx val="1"/>
          <c:order val="1"/>
          <c:tx>
            <c:v>Evolution des recettes totales</c:v>
          </c:tx>
          <c:spPr>
            <a:ln w="19050">
              <a:prstDash val="sysDot"/>
            </a:ln>
          </c:spPr>
          <c:dPt>
            <c:idx val="1"/>
            <c:bubble3D val="0"/>
            <c:spPr>
              <a:ln w="1905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0AC-4038-A0FA-597624B61B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A-50AC-4038-A0FA-597624B61B0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B-50AC-4038-A0FA-597624B61B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C-50AC-4038-A0FA-597624B61B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D-50AC-4038-A0FA-597624B61B0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E-50AC-4038-A0FA-597624B61B0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F-50AC-4038-A0FA-597624B61B0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0-50AC-4038-A0FA-597624B61B06}"/>
              </c:ext>
            </c:extLst>
          </c:dPt>
          <c:dLbls>
            <c:dLbl>
              <c:idx val="0"/>
              <c:layout>
                <c:manualLayout>
                  <c:x val="-6.913969455937849E-2"/>
                  <c:y val="6.659578032968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0AC-4038-A0FA-597624B61B06}"/>
                </c:ext>
              </c:extLst>
            </c:dLbl>
            <c:dLbl>
              <c:idx val="1"/>
              <c:layout>
                <c:manualLayout>
                  <c:x val="-1.7533597554675796E-2"/>
                  <c:y val="4.4503735325506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0AC-4038-A0FA-597624B61B06}"/>
                </c:ext>
              </c:extLst>
            </c:dLbl>
            <c:dLbl>
              <c:idx val="2"/>
              <c:layout>
                <c:manualLayout>
                  <c:x val="-1.8181413673982866E-2"/>
                  <c:y val="3.621449028273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0AC-4038-A0FA-597624B61B06}"/>
                </c:ext>
              </c:extLst>
            </c:dLbl>
            <c:dLbl>
              <c:idx val="3"/>
              <c:layout>
                <c:manualLayout>
                  <c:x val="-4.3841812992296163E-2"/>
                  <c:y val="-4.4810328822314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0AC-4038-A0FA-597624B61B06}"/>
                </c:ext>
              </c:extLst>
            </c:dLbl>
            <c:dLbl>
              <c:idx val="4"/>
              <c:layout>
                <c:manualLayout>
                  <c:x val="-4.5040733939016496E-2"/>
                  <c:y val="6.354517651105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0AC-4038-A0FA-597624B61B06}"/>
                </c:ext>
              </c:extLst>
            </c:dLbl>
            <c:dLbl>
              <c:idx val="5"/>
              <c:layout>
                <c:manualLayout>
                  <c:x val="-5.1540365836886259E-2"/>
                  <c:y val="5.655352909946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0AC-4038-A0FA-597624B61B06}"/>
                </c:ext>
              </c:extLst>
            </c:dLbl>
            <c:dLbl>
              <c:idx val="6"/>
              <c:layout>
                <c:manualLayout>
                  <c:x val="-1.3917884481558803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0AC-4038-A0FA-597624B61B06}"/>
                </c:ext>
              </c:extLst>
            </c:dLbl>
            <c:dLbl>
              <c:idx val="7"/>
              <c:layout>
                <c:manualLayout>
                  <c:x val="-1.9485038274182426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0AC-4038-A0FA-597624B61B06}"/>
                </c:ext>
              </c:extLst>
            </c:dLbl>
            <c:dLbl>
              <c:idx val="8"/>
              <c:layout>
                <c:manualLayout>
                  <c:x val="-1.6701461377870562E-2"/>
                  <c:y val="5.315614617940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0AC-4038-A0FA-597624B61B06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i="1">
                    <a:solidFill>
                      <a:schemeClr val="accent2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'RESULTAT NET'!$B$18:$G$18</c:f>
              <c:numCache>
                <c:formatCode>\+0.0%;\-0.0%;General</c:formatCode>
                <c:ptCount val="6"/>
                <c:pt idx="0">
                  <c:v>2.9607524866331669E-2</c:v>
                </c:pt>
                <c:pt idx="1">
                  <c:v>1.5186997273022751E-2</c:v>
                </c:pt>
                <c:pt idx="2">
                  <c:v>3.0991344303212598E-2</c:v>
                </c:pt>
                <c:pt idx="3">
                  <c:v>2.8341694871985457E-2</c:v>
                </c:pt>
                <c:pt idx="4">
                  <c:v>2.5653622477638027E-2</c:v>
                </c:pt>
                <c:pt idx="5">
                  <c:v>2.4648125207568539E-2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50AC-4038-A0FA-597624B61B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4780776"/>
        <c:axId val="444775680"/>
      </c:lineChart>
      <c:catAx>
        <c:axId val="13899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38996672"/>
        <c:crosses val="autoZero"/>
        <c:auto val="1"/>
        <c:lblAlgn val="ctr"/>
        <c:lblOffset val="100"/>
        <c:noMultiLvlLbl val="0"/>
      </c:catAx>
      <c:valAx>
        <c:axId val="138996672"/>
        <c:scaling>
          <c:orientation val="minMax"/>
          <c:max val="18000"/>
          <c:min val="0"/>
        </c:scaling>
        <c:delete val="0"/>
        <c:axPos val="l"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38998240"/>
        <c:crosses val="autoZero"/>
        <c:crossBetween val="between"/>
        <c:majorUnit val="2000"/>
        <c:dispUnits>
          <c:builtInUnit val="thousands"/>
          <c:dispUnitsLbl>
            <c:layout>
              <c:manualLayout>
                <c:xMode val="edge"/>
                <c:yMode val="edge"/>
                <c:x val="3.7081888702323652E-3"/>
                <c:y val="0.34801803565451872"/>
              </c:manualLayout>
            </c:layout>
            <c:tx>
              <c:rich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r>
                    <a:rPr lang="fr-FR"/>
                    <a:t>Milliards  d'euros</a:t>
                  </a:r>
                </a:p>
              </c:rich>
            </c:tx>
          </c:dispUnitsLbl>
        </c:dispUnits>
      </c:valAx>
      <c:valAx>
        <c:axId val="444775680"/>
        <c:scaling>
          <c:orientation val="minMax"/>
          <c:max val="4.0000000000000008E-2"/>
          <c:min val="0"/>
        </c:scaling>
        <c:delete val="0"/>
        <c:axPos val="r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rgbClr val="C00000"/>
                    </a:solidFill>
                  </a:defRPr>
                </a:pPr>
                <a:r>
                  <a:rPr lang="fr-FR" sz="800" b="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6705151894472652"/>
              <c:y val="0.36227952738501956"/>
            </c:manualLayout>
          </c:layout>
          <c:overlay val="0"/>
        </c:title>
        <c:numFmt formatCode="\+0.0%;\-0.0%;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</a:defRPr>
            </a:pPr>
            <a:endParaRPr lang="fr-FR"/>
          </a:p>
        </c:txPr>
        <c:crossAx val="444780776"/>
        <c:crosses val="max"/>
        <c:crossBetween val="between"/>
        <c:majorUnit val="1.0000000000000002E-2"/>
      </c:valAx>
      <c:catAx>
        <c:axId val="44478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47756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3.3286898974344198E-2"/>
          <c:y val="0.90730930263398857"/>
          <c:w val="0.94458380218681937"/>
          <c:h val="9.2198442719746393E-2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Maladie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76-43FE-B588-0F85A382957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76-43FE-B588-0F85A3829570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0A76-43FE-B588-0F85A382957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0A76-43FE-B588-0F85A3829570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0A76-43FE-B588-0F85A382957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0A76-43FE-B588-0F85A3829570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0A76-43FE-B588-0F85A3829570}"/>
              </c:ext>
            </c:extLst>
          </c:dPt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'Prest._cotisa.'!$C$48:$H$48</c:f>
              <c:numCache>
                <c:formatCode>#\ ##0.0</c:formatCode>
                <c:ptCount val="6"/>
                <c:pt idx="0">
                  <c:v>1.5647369367737247</c:v>
                </c:pt>
                <c:pt idx="1">
                  <c:v>-0.15789865224777744</c:v>
                </c:pt>
                <c:pt idx="2">
                  <c:v>1.1121310272630338</c:v>
                </c:pt>
                <c:pt idx="3">
                  <c:v>0.73260967681059674</c:v>
                </c:pt>
                <c:pt idx="4">
                  <c:v>0.90366310076322331</c:v>
                </c:pt>
                <c:pt idx="5">
                  <c:v>0.79516845821629678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76-43FE-B588-0F85A3829570}"/>
            </c:ext>
          </c:extLst>
        </c:ser>
        <c:ser>
          <c:idx val="1"/>
          <c:order val="1"/>
          <c:tx>
            <c:v>ATMP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0A76-43FE-B588-0F85A3829570}"/>
              </c:ext>
            </c:extLst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0A76-43FE-B588-0F85A3829570}"/>
              </c:ext>
            </c:extLst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0A76-43FE-B588-0F85A3829570}"/>
              </c:ext>
            </c:extLst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0A76-43FE-B588-0F85A3829570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0A76-43FE-B588-0F85A3829570}"/>
              </c:ext>
            </c:extLst>
          </c:dPt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'Prest._cotisa.'!$C$49:$H$49</c:f>
              <c:numCache>
                <c:formatCode>#\ ##0.0</c:formatCode>
                <c:ptCount val="6"/>
                <c:pt idx="0">
                  <c:v>0.1484284824204638</c:v>
                </c:pt>
                <c:pt idx="1">
                  <c:v>0.13005940030072954</c:v>
                </c:pt>
                <c:pt idx="2">
                  <c:v>0.14608859488684575</c:v>
                </c:pt>
                <c:pt idx="3">
                  <c:v>0.15043671221307431</c:v>
                </c:pt>
                <c:pt idx="4">
                  <c:v>0.15639383645225552</c:v>
                </c:pt>
                <c:pt idx="5">
                  <c:v>0.1661800307347871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A76-43FE-B588-0F85A3829570}"/>
            </c:ext>
          </c:extLst>
        </c:ser>
        <c:ser>
          <c:idx val="2"/>
          <c:order val="2"/>
          <c:tx>
            <c:v>Retraite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0A76-43FE-B588-0F85A382957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0A76-43FE-B588-0F85A382957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0A76-43FE-B588-0F85A382957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0A76-43FE-B588-0F85A382957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0A76-43FE-B588-0F85A3829570}"/>
              </c:ext>
            </c:extLst>
          </c:dPt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'Prest._cotisa.'!$C$51:$H$51</c:f>
              <c:numCache>
                <c:formatCode>#\ ##0.0</c:formatCode>
                <c:ptCount val="6"/>
                <c:pt idx="0">
                  <c:v>2.1107262774863926</c:v>
                </c:pt>
                <c:pt idx="1">
                  <c:v>1.6551625999557156</c:v>
                </c:pt>
                <c:pt idx="2">
                  <c:v>3.2789056978677609</c:v>
                </c:pt>
                <c:pt idx="3">
                  <c:v>2.059795650921787</c:v>
                </c:pt>
                <c:pt idx="4">
                  <c:v>1.6125273602356025</c:v>
                </c:pt>
                <c:pt idx="5">
                  <c:v>1.620313989231684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A76-43FE-B588-0F85A3829570}"/>
            </c:ext>
          </c:extLst>
        </c:ser>
        <c:ser>
          <c:idx val="3"/>
          <c:order val="3"/>
          <c:tx>
            <c:v>Famille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4-0A76-43FE-B588-0F85A3829570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0A76-43FE-B588-0F85A3829570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0A76-43FE-B588-0F85A3829570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0A76-43FE-B588-0F85A3829570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0A76-43FE-B588-0F85A3829570}"/>
              </c:ext>
            </c:extLst>
          </c:dPt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'Prest._cotisa.'!$C$50:$H$50</c:f>
              <c:numCache>
                <c:formatCode>#\ ##0.0</c:formatCode>
                <c:ptCount val="6"/>
                <c:pt idx="0">
                  <c:v>0.61444930055313762</c:v>
                </c:pt>
                <c:pt idx="1">
                  <c:v>6.4802276660876667E-3</c:v>
                </c:pt>
                <c:pt idx="2">
                  <c:v>-0.10299413959221525</c:v>
                </c:pt>
                <c:pt idx="3">
                  <c:v>9.6919995677479887E-2</c:v>
                </c:pt>
                <c:pt idx="4">
                  <c:v>8.8600827604459129E-2</c:v>
                </c:pt>
                <c:pt idx="5">
                  <c:v>8.0736028797967208E-2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0A76-43FE-B588-0F85A3829570}"/>
            </c:ext>
          </c:extLst>
        </c:ser>
        <c:ser>
          <c:idx val="4"/>
          <c:order val="5"/>
          <c:tx>
            <c:v>SASPA</c:v>
          </c:tx>
          <c:invertIfNegative val="0"/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'Prest._cotisa.'!$C$52:$H$52</c:f>
              <c:numCache>
                <c:formatCode>#\ ##0.0</c:formatCode>
                <c:ptCount val="6"/>
                <c:pt idx="0">
                  <c:v>0.22856468110524769</c:v>
                </c:pt>
                <c:pt idx="1">
                  <c:v>8.3775238759914591E-2</c:v>
                </c:pt>
                <c:pt idx="2">
                  <c:v>0.22377667192266773</c:v>
                </c:pt>
                <c:pt idx="3">
                  <c:v>0.14871820128675264</c:v>
                </c:pt>
                <c:pt idx="4">
                  <c:v>0.13162572069924863</c:v>
                </c:pt>
                <c:pt idx="5">
                  <c:v>0.12380898777152502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0A76-43FE-B588-0F85A3829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436296"/>
        <c:axId val="445439432"/>
      </c:barChart>
      <c:lineChart>
        <c:grouping val="standard"/>
        <c:varyColors val="0"/>
        <c:ser>
          <c:idx val="5"/>
          <c:order val="4"/>
          <c:tx>
            <c:v>Evolution des prestations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0-0A76-43FE-B588-0F85A3829570}"/>
              </c:ext>
            </c:extLst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2-0A76-43FE-B588-0F85A3829570}"/>
              </c:ext>
            </c:extLst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4-0A76-43FE-B588-0F85A3829570}"/>
              </c:ext>
            </c:extLst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6-0A76-43FE-B588-0F85A3829570}"/>
              </c:ext>
            </c:extLst>
          </c:dPt>
          <c:dLbls>
            <c:dLbl>
              <c:idx val="0"/>
              <c:layout>
                <c:manualLayout>
                  <c:x val="-4.608653509039997E-2"/>
                  <c:y val="-6.808963817605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A76-43FE-B588-0F85A3829570}"/>
                </c:ext>
              </c:extLst>
            </c:dLbl>
            <c:dLbl>
              <c:idx val="1"/>
              <c:layout>
                <c:manualLayout>
                  <c:x val="-3.7982651798359655E-2"/>
                  <c:y val="0.130088693041810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A76-43FE-B588-0F85A3829570}"/>
                </c:ext>
              </c:extLst>
            </c:dLbl>
            <c:dLbl>
              <c:idx val="2"/>
              <c:layout>
                <c:manualLayout>
                  <c:x val="6.590523544056235E-3"/>
                  <c:y val="-1.9159944456484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A76-43FE-B588-0F85A382957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'Prest._cotisa.'!$D$26:$I$26</c:f>
              <c:numCache>
                <c:formatCode>\+0.0%;\-0.0%;General</c:formatCode>
                <c:ptCount val="6"/>
                <c:pt idx="0">
                  <c:v>4.7215069967980972E-2</c:v>
                </c:pt>
                <c:pt idx="1">
                  <c:v>1.727148005757484E-2</c:v>
                </c:pt>
                <c:pt idx="2">
                  <c:v>4.6351899848706468E-2</c:v>
                </c:pt>
                <c:pt idx="3">
                  <c:v>3.1228940947673811E-2</c:v>
                </c:pt>
                <c:pt idx="4">
                  <c:v>2.8118037278207053E-2</c:v>
                </c:pt>
                <c:pt idx="5">
                  <c:v>2.6964973918712554E-2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0A76-43FE-B588-0F85A3829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37080"/>
        <c:axId val="445438648"/>
      </c:lineChart>
      <c:catAx>
        <c:axId val="445436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439432"/>
        <c:crosses val="autoZero"/>
        <c:auto val="1"/>
        <c:lblAlgn val="ctr"/>
        <c:lblOffset val="100"/>
        <c:noMultiLvlLbl val="0"/>
      </c:catAx>
      <c:valAx>
        <c:axId val="445439432"/>
        <c:scaling>
          <c:orientation val="minMax"/>
          <c:max val="4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2.0926348229910741E-2"/>
              <c:y val="0.2247348899162089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436296"/>
        <c:crosses val="autoZero"/>
        <c:crossBetween val="between"/>
        <c:majorUnit val="1"/>
      </c:valAx>
      <c:valAx>
        <c:axId val="445438648"/>
        <c:scaling>
          <c:orientation val="minMax"/>
          <c:max val="6.0000000000000012E-2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6742323259387442"/>
              <c:y val="0.36410997805602169"/>
            </c:manualLayout>
          </c:layout>
          <c:overlay val="0"/>
        </c:title>
        <c:numFmt formatCode="\+0.0%;\-0.0%;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445437080"/>
        <c:crosses val="max"/>
        <c:crossBetween val="between"/>
        <c:majorUnit val="1.0000000000000002E-2"/>
      </c:valAx>
      <c:catAx>
        <c:axId val="445437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43864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5"/>
        <c:txPr>
          <a:bodyPr/>
          <a:lstStyle/>
          <a:p>
            <a:pPr>
              <a:defRPr sz="1000">
                <a:solidFill>
                  <a:srgbClr val="C00000"/>
                </a:solidFill>
              </a:defRPr>
            </a:pPr>
            <a:endParaRPr lang="fr-FR"/>
          </a:p>
        </c:txPr>
      </c:legendEntry>
      <c:overlay val="0"/>
      <c:txPr>
        <a:bodyPr/>
        <a:lstStyle/>
        <a:p>
          <a:pPr>
            <a:defRPr sz="10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Maladie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E3B-4208-91B3-DFA5A5559E8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E3B-4208-91B3-DFA5A5559E8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4E3B-4208-91B3-DFA5A5559E8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4E3B-4208-91B3-DFA5A5559E8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4E3B-4208-91B3-DFA5A5559E8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4E3B-4208-91B3-DFA5A5559E8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4E3B-4208-91B3-DFA5A5559E8A}"/>
              </c:ext>
            </c:extLst>
          </c:dPt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'Prest._cotisa.'!$C$54:$H$54</c:f>
              <c:numCache>
                <c:formatCode>#\ ##0.0</c:formatCode>
                <c:ptCount val="6"/>
                <c:pt idx="0">
                  <c:v>0.64510813720772975</c:v>
                </c:pt>
                <c:pt idx="1">
                  <c:v>1.1039699483479235</c:v>
                </c:pt>
                <c:pt idx="2">
                  <c:v>0.73783678335839875</c:v>
                </c:pt>
                <c:pt idx="3">
                  <c:v>0.34859530353335405</c:v>
                </c:pt>
                <c:pt idx="4">
                  <c:v>0.37691744064129323</c:v>
                </c:pt>
                <c:pt idx="5">
                  <c:v>0.37122415815279269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E3B-4208-91B3-DFA5A5559E8A}"/>
            </c:ext>
          </c:extLst>
        </c:ser>
        <c:ser>
          <c:idx val="1"/>
          <c:order val="1"/>
          <c:tx>
            <c:v>ATMP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4E3B-4208-91B3-DFA5A5559E8A}"/>
              </c:ext>
            </c:extLst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4E3B-4208-91B3-DFA5A5559E8A}"/>
              </c:ext>
            </c:extLst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4E3B-4208-91B3-DFA5A5559E8A}"/>
              </c:ext>
            </c:extLst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4E3B-4208-91B3-DFA5A5559E8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4E3B-4208-91B3-DFA5A5559E8A}"/>
              </c:ext>
            </c:extLst>
          </c:dPt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'Prest._cotisa.'!$C$55:$H$55</c:f>
              <c:numCache>
                <c:formatCode>#\ ##0.0</c:formatCode>
                <c:ptCount val="6"/>
                <c:pt idx="0">
                  <c:v>0.28584677210200826</c:v>
                </c:pt>
                <c:pt idx="1">
                  <c:v>0.41278189147430322</c:v>
                </c:pt>
                <c:pt idx="2">
                  <c:v>0.31355861042279098</c:v>
                </c:pt>
                <c:pt idx="3">
                  <c:v>0.21009370613920636</c:v>
                </c:pt>
                <c:pt idx="4">
                  <c:v>0.20219637277967534</c:v>
                </c:pt>
                <c:pt idx="5">
                  <c:v>0.2087659575033281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E3B-4208-91B3-DFA5A5559E8A}"/>
            </c:ext>
          </c:extLst>
        </c:ser>
        <c:ser>
          <c:idx val="2"/>
          <c:order val="2"/>
          <c:tx>
            <c:v>Retraite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4E3B-4208-91B3-DFA5A5559E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4E3B-4208-91B3-DFA5A5559E8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4E3B-4208-91B3-DFA5A5559E8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4E3B-4208-91B3-DFA5A5559E8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4E3B-4208-91B3-DFA5A5559E8A}"/>
              </c:ext>
            </c:extLst>
          </c:dPt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'Prest._cotisa.'!$C$57:$H$57</c:f>
              <c:numCache>
                <c:formatCode>#\ ##0.0</c:formatCode>
                <c:ptCount val="6"/>
                <c:pt idx="0">
                  <c:v>1.9091078762280482</c:v>
                </c:pt>
                <c:pt idx="1">
                  <c:v>2.6723610213417603</c:v>
                </c:pt>
                <c:pt idx="2">
                  <c:v>1.5054144635457936</c:v>
                </c:pt>
                <c:pt idx="3">
                  <c:v>0.70857128823504867</c:v>
                </c:pt>
                <c:pt idx="4">
                  <c:v>0.77246006795080868</c:v>
                </c:pt>
                <c:pt idx="5">
                  <c:v>0.7630097089307315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E3B-4208-91B3-DFA5A5559E8A}"/>
            </c:ext>
          </c:extLst>
        </c:ser>
        <c:ser>
          <c:idx val="3"/>
          <c:order val="3"/>
          <c:tx>
            <c:v>Famille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4-4E3B-4208-91B3-DFA5A5559E8A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4E3B-4208-91B3-DFA5A5559E8A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4E3B-4208-91B3-DFA5A5559E8A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4E3B-4208-91B3-DFA5A5559E8A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4E3B-4208-91B3-DFA5A5559E8A}"/>
              </c:ext>
            </c:extLst>
          </c:dPt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'Prest._cotisa.'!$C$56:$H$56</c:f>
              <c:numCache>
                <c:formatCode>#\ ##0.0</c:formatCode>
                <c:ptCount val="6"/>
                <c:pt idx="0">
                  <c:v>0.32440307364718657</c:v>
                </c:pt>
                <c:pt idx="1">
                  <c:v>0.42889052082676243</c:v>
                </c:pt>
                <c:pt idx="2">
                  <c:v>0.25237249890425167</c:v>
                </c:pt>
                <c:pt idx="3">
                  <c:v>9.9462414747642169E-2</c:v>
                </c:pt>
                <c:pt idx="4">
                  <c:v>0.10835776406216736</c:v>
                </c:pt>
                <c:pt idx="5">
                  <c:v>0.10440818071870232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4E3B-4208-91B3-DFA5A5559E8A}"/>
            </c:ext>
          </c:extLst>
        </c:ser>
        <c:ser>
          <c:idx val="4"/>
          <c:order val="5"/>
          <c:tx>
            <c:v>SASPA</c:v>
          </c:tx>
          <c:invertIfNegative val="0"/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'Prest._cotisa.'!$C$58:$H$58</c:f>
              <c:numCache>
                <c:formatCode>#\ 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4E3B-4208-91B3-DFA5A5559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435120"/>
        <c:axId val="445437472"/>
      </c:barChart>
      <c:lineChart>
        <c:grouping val="standard"/>
        <c:varyColors val="0"/>
        <c:ser>
          <c:idx val="5"/>
          <c:order val="4"/>
          <c:tx>
            <c:v>Evolution des cotisations sociales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0-4E3B-4208-91B3-DFA5A5559E8A}"/>
              </c:ext>
            </c:extLst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2-4E3B-4208-91B3-DFA5A5559E8A}"/>
              </c:ext>
            </c:extLst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4-4E3B-4208-91B3-DFA5A5559E8A}"/>
              </c:ext>
            </c:extLst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6-4E3B-4208-91B3-DFA5A5559E8A}"/>
              </c:ext>
            </c:extLst>
          </c:dPt>
          <c:dLbls>
            <c:dLbl>
              <c:idx val="0"/>
              <c:layout>
                <c:manualLayout>
                  <c:x val="-7.9454329158798895E-2"/>
                  <c:y val="1.1409592101583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4E3B-4208-91B3-DFA5A5559E8A}"/>
                </c:ext>
              </c:extLst>
            </c:dLbl>
            <c:dLbl>
              <c:idx val="1"/>
              <c:layout>
                <c:manualLayout>
                  <c:x val="3.3404302295253815E-3"/>
                  <c:y val="-1.192115409390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E3B-4208-91B3-DFA5A5559E8A}"/>
                </c:ext>
              </c:extLst>
            </c:dLbl>
            <c:dLbl>
              <c:idx val="2"/>
              <c:layout>
                <c:manualLayout>
                  <c:x val="-2.341725559021304E-2"/>
                  <c:y val="-6.2761240694945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E3B-4208-91B3-DFA5A5559E8A}"/>
                </c:ext>
              </c:extLst>
            </c:dLbl>
            <c:dLbl>
              <c:idx val="3"/>
              <c:layout>
                <c:manualLayout>
                  <c:x val="-3.9433194846935873E-2"/>
                  <c:y val="5.4027064269341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E3B-4208-91B3-DFA5A5559E8A}"/>
                </c:ext>
              </c:extLst>
            </c:dLbl>
            <c:dLbl>
              <c:idx val="4"/>
              <c:layout>
                <c:manualLayout>
                  <c:x val="-4.7159412541546382E-2"/>
                  <c:y val="3.8169869433093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E3B-4208-91B3-DFA5A5559E8A}"/>
                </c:ext>
              </c:extLst>
            </c:dLbl>
            <c:dLbl>
              <c:idx val="5"/>
              <c:layout>
                <c:manualLayout>
                  <c:x val="-4.7159412541546313E-2"/>
                  <c:y val="5.8243468414429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E3B-4208-91B3-DFA5A5559E8A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'Prest._cotisa.'!$D$32:$I$32</c:f>
              <c:numCache>
                <c:formatCode>\+0.0%;\-0.0%;General</c:formatCode>
                <c:ptCount val="6"/>
                <c:pt idx="0">
                  <c:v>3.189179764702188E-2</c:v>
                </c:pt>
                <c:pt idx="1">
                  <c:v>4.6180033819907651E-2</c:v>
                </c:pt>
                <c:pt idx="2">
                  <c:v>2.8091823562312213E-2</c:v>
                </c:pt>
                <c:pt idx="3">
                  <c:v>1.366722712655255E-2</c:v>
                </c:pt>
                <c:pt idx="4">
                  <c:v>1.4599316454339428E-2</c:v>
                </c:pt>
                <c:pt idx="5">
                  <c:v>1.4474080053055616E-2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4E3B-4208-91B3-DFA5A5559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39824"/>
        <c:axId val="445437864"/>
      </c:lineChart>
      <c:catAx>
        <c:axId val="44543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437472"/>
        <c:crosses val="autoZero"/>
        <c:auto val="1"/>
        <c:lblAlgn val="ctr"/>
        <c:lblOffset val="100"/>
        <c:noMultiLvlLbl val="0"/>
      </c:catAx>
      <c:valAx>
        <c:axId val="445437472"/>
        <c:scaling>
          <c:orientation val="minMax"/>
          <c:max val="3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3078880407124679E-2"/>
              <c:y val="7.043435360053677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435120"/>
        <c:crosses val="autoZero"/>
        <c:crossBetween val="between"/>
        <c:majorUnit val="1"/>
        <c:minorUnit val="0.1"/>
      </c:valAx>
      <c:valAx>
        <c:axId val="445437864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4716274969445613"/>
              <c:y val="0.48186568784165135"/>
            </c:manualLayout>
          </c:layout>
          <c:overlay val="0"/>
        </c:title>
        <c:numFmt formatCode="\+0.0%;\-0.0%;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445439824"/>
        <c:crosses val="max"/>
        <c:crossBetween val="between"/>
        <c:majorUnit val="1.0000000000000002E-2"/>
      </c:valAx>
      <c:catAx>
        <c:axId val="44543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43786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5"/>
        <c:txPr>
          <a:bodyPr/>
          <a:lstStyle/>
          <a:p>
            <a:pPr>
              <a:defRPr sz="1000">
                <a:solidFill>
                  <a:srgbClr val="C00000"/>
                </a:solidFill>
              </a:defRPr>
            </a:pPr>
            <a:endParaRPr lang="fr-FR"/>
          </a:p>
        </c:txPr>
      </c:legendEntry>
      <c:overlay val="0"/>
      <c:txPr>
        <a:bodyPr/>
        <a:lstStyle/>
        <a:p>
          <a:pPr>
            <a:defRPr sz="10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7157112140552"/>
          <c:y val="9.2105747828054543E-2"/>
          <c:w val="0.85255863051260772"/>
          <c:h val="0.8489905913059036"/>
        </c:manualLayout>
      </c:layout>
      <c:barChart>
        <c:barDir val="col"/>
        <c:grouping val="stacked"/>
        <c:varyColors val="0"/>
        <c:ser>
          <c:idx val="0"/>
          <c:order val="0"/>
          <c:tx>
            <c:v>ATMP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2.3529777616177745E-3"/>
                  <c:y val="-0.415223088135468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F8-43A3-9D80-50D572210295}"/>
                </c:ext>
              </c:extLst>
            </c:dLbl>
            <c:dLbl>
              <c:idx val="1"/>
              <c:layout>
                <c:manualLayout>
                  <c:x val="-3.9782537705374176E-17"/>
                  <c:y val="-0.416997084778227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F8-43A3-9D80-50D572210295}"/>
                </c:ext>
              </c:extLst>
            </c:dLbl>
            <c:dLbl>
              <c:idx val="2"/>
              <c:layout>
                <c:manualLayout>
                  <c:x val="4.339963339270312E-3"/>
                  <c:y val="-0.395601580218588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F8-43A3-9D80-50D572210295}"/>
                </c:ext>
              </c:extLst>
            </c:dLbl>
            <c:dLbl>
              <c:idx val="3"/>
              <c:layout>
                <c:manualLayout>
                  <c:x val="2.169981669635156E-3"/>
                  <c:y val="-0.352075845756352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F8-43A3-9D80-50D572210295}"/>
                </c:ext>
              </c:extLst>
            </c:dLbl>
            <c:dLbl>
              <c:idx val="4"/>
              <c:layout>
                <c:manualLayout>
                  <c:x val="-1.591301508214967E-16"/>
                  <c:y val="-0.309192091540068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F8-43A3-9D80-50D572210295}"/>
                </c:ext>
              </c:extLst>
            </c:dLbl>
            <c:dLbl>
              <c:idx val="5"/>
              <c:layout>
                <c:manualLayout>
                  <c:x val="-1.8299609198261827E-4"/>
                  <c:y val="-0.243008269442266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F8-43A3-9D80-50D572210295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'Prest._cotisa.'!$C$47:$H$47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SOLDES!$C$20:$H$20</c:f>
              <c:numCache>
                <c:formatCode>#\ ##0.0</c:formatCode>
                <c:ptCount val="6"/>
                <c:pt idx="0">
                  <c:v>59.604045509999992</c:v>
                </c:pt>
                <c:pt idx="1">
                  <c:v>59.560373181025966</c:v>
                </c:pt>
                <c:pt idx="2">
                  <c:v>57.273537321953313</c:v>
                </c:pt>
                <c:pt idx="3">
                  <c:v>51.569307754655824</c:v>
                </c:pt>
                <c:pt idx="4">
                  <c:v>42.7384242556044</c:v>
                </c:pt>
                <c:pt idx="5">
                  <c:v>32.032395654553397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F8-43A3-9D80-50D572210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776856"/>
        <c:axId val="444778424"/>
      </c:barChart>
      <c:catAx>
        <c:axId val="44477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4778424"/>
        <c:crosses val="autoZero"/>
        <c:auto val="1"/>
        <c:lblAlgn val="ctr"/>
        <c:lblOffset val="100"/>
        <c:noMultiLvlLbl val="0"/>
      </c:catAx>
      <c:valAx>
        <c:axId val="444778424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b="0">
                    <a:solidFill>
                      <a:schemeClr val="accent1">
                        <a:lumMod val="75000"/>
                      </a:schemeClr>
                    </a:solidFill>
                  </a:rPr>
                  <a:t>Millions</a:t>
                </a:r>
                <a:r>
                  <a:rPr lang="fr-FR" b="0" baseline="0">
                    <a:solidFill>
                      <a:schemeClr val="accent1">
                        <a:lumMod val="75000"/>
                      </a:schemeClr>
                    </a:solidFill>
                  </a:rPr>
                  <a:t> d'euros</a:t>
                </a:r>
                <a:endParaRPr lang="fr-FR" b="0">
                  <a:solidFill>
                    <a:schemeClr val="accent1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9372468639493254E-2"/>
              <c:y val="0.34372901500519976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477685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63576710080617E-2"/>
          <c:y val="9.3183975137860545E-2"/>
          <c:w val="0.79504978306528384"/>
          <c:h val="0.75318705642547767"/>
        </c:manualLayout>
      </c:layout>
      <c:barChart>
        <c:barDir val="col"/>
        <c:grouping val="clustered"/>
        <c:varyColors val="0"/>
        <c:ser>
          <c:idx val="0"/>
          <c:order val="0"/>
          <c:tx>
            <c:v>Cotisations sociales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D7B-4830-92F3-DB0A10E8D0C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7B-4830-92F3-DB0A10E8D0C4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7D7B-4830-92F3-DB0A10E8D0C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7D7B-4830-92F3-DB0A10E8D0C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7D7B-4830-92F3-DB0A10E8D0C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7D7B-4830-92F3-DB0A10E8D0C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7D7B-4830-92F3-DB0A10E8D0C4}"/>
              </c:ext>
            </c:extLst>
          </c:dPt>
          <c:cat>
            <c:strRef>
              <c:f>'RESULTAT NET'!$B$28:$G$28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'RESULTAT NET'!$B$32:$G$32</c:f>
              <c:numCache>
                <c:formatCode>0.0</c:formatCode>
                <c:ptCount val="6"/>
                <c:pt idx="0">
                  <c:v>1.2186278871292959</c:v>
                </c:pt>
                <c:pt idx="1">
                  <c:v>1.7685152597193314</c:v>
                </c:pt>
                <c:pt idx="2">
                  <c:v>1.1086510627830841</c:v>
                </c:pt>
                <c:pt idx="3">
                  <c:v>0.5378637102672118</c:v>
                </c:pt>
                <c:pt idx="4">
                  <c:v>0.56634662222338583</c:v>
                </c:pt>
                <c:pt idx="5">
                  <c:v>0.55543674819099975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7B-4830-92F3-DB0A10E8D0C4}"/>
            </c:ext>
          </c:extLst>
        </c:ser>
        <c:ser>
          <c:idx val="1"/>
          <c:order val="1"/>
          <c:tx>
            <c:v>Compensation démographique vieillesse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7D7B-4830-92F3-DB0A10E8D0C4}"/>
              </c:ext>
            </c:extLst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7D7B-4830-92F3-DB0A10E8D0C4}"/>
              </c:ext>
            </c:extLst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7D7B-4830-92F3-DB0A10E8D0C4}"/>
              </c:ext>
            </c:extLst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7D7B-4830-92F3-DB0A10E8D0C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7D7B-4830-92F3-DB0A10E8D0C4}"/>
              </c:ext>
            </c:extLst>
          </c:dPt>
          <c:cat>
            <c:strRef>
              <c:f>'RESULTAT NET'!$B$28:$G$28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'RESULTAT NET'!$B$33:$G$33</c:f>
              <c:numCache>
                <c:formatCode>0.0</c:formatCode>
                <c:ptCount val="6"/>
                <c:pt idx="0">
                  <c:v>-0.39258570183329417</c:v>
                </c:pt>
                <c:pt idx="1">
                  <c:v>0.74762213097982422</c:v>
                </c:pt>
                <c:pt idx="2">
                  <c:v>9.3833222424094365E-2</c:v>
                </c:pt>
                <c:pt idx="3">
                  <c:v>4.7132944468515195E-2</c:v>
                </c:pt>
                <c:pt idx="4">
                  <c:v>-5.3333898892241507E-2</c:v>
                </c:pt>
                <c:pt idx="5">
                  <c:v>-0.11929550923253872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D7B-4830-92F3-DB0A10E8D0C4}"/>
            </c:ext>
          </c:extLst>
        </c:ser>
        <c:ser>
          <c:idx val="2"/>
          <c:order val="2"/>
          <c:tx>
            <c:v>CSG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7D7B-4830-92F3-DB0A10E8D0C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7D7B-4830-92F3-DB0A10E8D0C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7D7B-4830-92F3-DB0A10E8D0C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7D7B-4830-92F3-DB0A10E8D0C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7D7B-4830-92F3-DB0A10E8D0C4}"/>
              </c:ext>
            </c:extLst>
          </c:dPt>
          <c:cat>
            <c:strRef>
              <c:f>'RESULTAT NET'!$B$28:$G$28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'RESULTAT NET'!$B$34:$G$34</c:f>
              <c:numCache>
                <c:formatCode>0.0</c:formatCode>
                <c:ptCount val="6"/>
                <c:pt idx="0">
                  <c:v>0.62806899152826356</c:v>
                </c:pt>
                <c:pt idx="1">
                  <c:v>0.40401314790373721</c:v>
                </c:pt>
                <c:pt idx="2">
                  <c:v>0.26736967956604452</c:v>
                </c:pt>
                <c:pt idx="3">
                  <c:v>0.14085283717218147</c:v>
                </c:pt>
                <c:pt idx="4">
                  <c:v>0.15186952812767926</c:v>
                </c:pt>
                <c:pt idx="5">
                  <c:v>0.15108268080315146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D7B-4830-92F3-DB0A10E8D0C4}"/>
            </c:ext>
          </c:extLst>
        </c:ser>
        <c:ser>
          <c:idx val="3"/>
          <c:order val="3"/>
          <c:tx>
            <c:v>Impôts et taxes affectés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4-7D7B-4830-92F3-DB0A10E8D0C4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7D7B-4830-92F3-DB0A10E8D0C4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7D7B-4830-92F3-DB0A10E8D0C4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7D7B-4830-92F3-DB0A10E8D0C4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7D7B-4830-92F3-DB0A10E8D0C4}"/>
              </c:ext>
            </c:extLst>
          </c:dPt>
          <c:cat>
            <c:strRef>
              <c:f>'RESULTAT NET'!$B$28:$G$28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'RESULTAT NET'!$B$35:$G$35</c:f>
              <c:numCache>
                <c:formatCode>0.0</c:formatCode>
                <c:ptCount val="6"/>
                <c:pt idx="0">
                  <c:v>-2.967034142503374E-3</c:v>
                </c:pt>
                <c:pt idx="1">
                  <c:v>3.4364099915714659E-2</c:v>
                </c:pt>
                <c:pt idx="2">
                  <c:v>0</c:v>
                </c:pt>
                <c:pt idx="3">
                  <c:v>3.7408951274213952E-3</c:v>
                </c:pt>
                <c:pt idx="4">
                  <c:v>3.499854373853261E-3</c:v>
                </c:pt>
                <c:pt idx="5">
                  <c:v>3.6071306603177016E-3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7D7B-4830-92F3-DB0A10E8D0C4}"/>
            </c:ext>
          </c:extLst>
        </c:ser>
        <c:ser>
          <c:idx val="4"/>
          <c:order val="5"/>
          <c:tx>
            <c:strRef>
              <c:f>'RESULTAT NET'!$A$38</c:f>
              <c:strCache>
                <c:ptCount val="1"/>
                <c:pt idx="0">
                  <c:v>Contribution du RG</c:v>
                </c:pt>
              </c:strCache>
            </c:strRef>
          </c:tx>
          <c:invertIfNegative val="0"/>
          <c:cat>
            <c:strRef>
              <c:f>'RESULTAT NET'!$B$28:$G$28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'RESULTAT NET'!$B$38:$G$38</c:f>
              <c:numCache>
                <c:formatCode>0.0</c:formatCode>
                <c:ptCount val="6"/>
                <c:pt idx="0">
                  <c:v>1.1647164716249803</c:v>
                </c:pt>
                <c:pt idx="1">
                  <c:v>-2.3793366194180696</c:v>
                </c:pt>
                <c:pt idx="2">
                  <c:v>1.7739828878976471</c:v>
                </c:pt>
                <c:pt idx="3">
                  <c:v>1.4602993461903957</c:v>
                </c:pt>
                <c:pt idx="4">
                  <c:v>1.4046559395022331</c:v>
                </c:pt>
                <c:pt idx="5">
                  <c:v>1.5047933598627381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0029-4C86-94F2-51461DF29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778032"/>
        <c:axId val="444783128"/>
      </c:barChart>
      <c:lineChart>
        <c:grouping val="standard"/>
        <c:varyColors val="0"/>
        <c:ser>
          <c:idx val="5"/>
          <c:order val="4"/>
          <c:tx>
            <c:v>Evolution des recettes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F-7D7B-4830-92F3-DB0A10E8D0C4}"/>
              </c:ext>
            </c:extLst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1-7D7B-4830-92F3-DB0A10E8D0C4}"/>
              </c:ext>
            </c:extLst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3-7D7B-4830-92F3-DB0A10E8D0C4}"/>
              </c:ext>
            </c:extLst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5-7D7B-4830-92F3-DB0A10E8D0C4}"/>
              </c:ext>
            </c:extLst>
          </c:dPt>
          <c:dLbls>
            <c:dLbl>
              <c:idx val="0"/>
              <c:layout>
                <c:manualLayout>
                  <c:x val="-2.6921781185909315E-2"/>
                  <c:y val="-5.2701484502791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D7B-4830-92F3-DB0A10E8D0C4}"/>
                </c:ext>
              </c:extLst>
            </c:dLbl>
            <c:dLbl>
              <c:idx val="1"/>
              <c:layout>
                <c:manualLayout>
                  <c:x val="-5.4220475751821449E-2"/>
                  <c:y val="4.774478644930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D7B-4830-92F3-DB0A10E8D0C4}"/>
                </c:ext>
              </c:extLst>
            </c:dLbl>
            <c:dLbl>
              <c:idx val="2"/>
              <c:layout>
                <c:manualLayout>
                  <c:x val="-2.7746532506668174E-2"/>
                  <c:y val="-5.9984147125436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7B-4830-92F3-DB0A10E8D0C4}"/>
                </c:ext>
              </c:extLst>
            </c:dLbl>
            <c:dLbl>
              <c:idx val="3"/>
              <c:layout>
                <c:manualLayout>
                  <c:x val="-3.1864547598401495E-2"/>
                  <c:y val="-5.78406770822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7B-4830-92F3-DB0A10E8D0C4}"/>
                </c:ext>
              </c:extLst>
            </c:dLbl>
            <c:dLbl>
              <c:idx val="4"/>
              <c:layout>
                <c:manualLayout>
                  <c:x val="-3.6811029106933131E-2"/>
                  <c:y val="7.725540460442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D7B-4830-92F3-DB0A10E8D0C4}"/>
                </c:ext>
              </c:extLst>
            </c:dLbl>
            <c:dLbl>
              <c:idx val="5"/>
              <c:layout>
                <c:manualLayout>
                  <c:x val="-3.8951768765667784E-2"/>
                  <c:y val="6.5608769030098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D7B-4830-92F3-DB0A10E8D0C4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 NET'!$B$28:$G$28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'RESULTAT NET'!$B$18:$G$18</c:f>
              <c:numCache>
                <c:formatCode>\+0.0%;\-0.0%;General</c:formatCode>
                <c:ptCount val="6"/>
                <c:pt idx="0">
                  <c:v>2.9607524866331669E-2</c:v>
                </c:pt>
                <c:pt idx="1">
                  <c:v>1.5186997273022751E-2</c:v>
                </c:pt>
                <c:pt idx="2">
                  <c:v>3.0991344303212598E-2</c:v>
                </c:pt>
                <c:pt idx="3">
                  <c:v>2.8341694871985457E-2</c:v>
                </c:pt>
                <c:pt idx="4">
                  <c:v>2.5653622477638027E-2</c:v>
                </c:pt>
                <c:pt idx="5">
                  <c:v>2.4648125207568539E-2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7D7B-4830-92F3-DB0A10E8D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9208"/>
        <c:axId val="444780384"/>
      </c:lineChart>
      <c:catAx>
        <c:axId val="44477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4783128"/>
        <c:crossesAt val="0"/>
        <c:auto val="1"/>
        <c:lblAlgn val="ctr"/>
        <c:lblOffset val="100"/>
        <c:noMultiLvlLbl val="0"/>
      </c:catAx>
      <c:valAx>
        <c:axId val="444783128"/>
        <c:scaling>
          <c:orientation val="minMax"/>
          <c:max val="2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8.2766392826890041E-4"/>
              <c:y val="0.2263608970157849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4778032"/>
        <c:crosses val="autoZero"/>
        <c:crossBetween val="between"/>
        <c:majorUnit val="1"/>
      </c:valAx>
      <c:valAx>
        <c:axId val="444780384"/>
        <c:scaling>
          <c:orientation val="minMax"/>
          <c:max val="4.0000000000000008E-2"/>
          <c:min val="1.0000000000000002E-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6424569481399258"/>
              <c:y val="0.32914440707179582"/>
            </c:manualLayout>
          </c:layout>
          <c:overlay val="0"/>
        </c:title>
        <c:numFmt formatCode="\+0.0%;\-0.0%;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444779208"/>
        <c:crosses val="max"/>
        <c:crossBetween val="between"/>
        <c:majorUnit val="1.0000000000000002E-2"/>
      </c:valAx>
      <c:catAx>
        <c:axId val="444779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4780384"/>
        <c:crossesAt val="1.0000000000000002E-2"/>
        <c:auto val="1"/>
        <c:lblAlgn val="ctr"/>
        <c:lblOffset val="100"/>
        <c:noMultiLvlLbl val="0"/>
      </c:catAx>
    </c:plotArea>
    <c:legend>
      <c:legendPos val="b"/>
      <c:legendEntry>
        <c:idx val="5"/>
        <c:txPr>
          <a:bodyPr/>
          <a:lstStyle/>
          <a:p>
            <a:pPr>
              <a:defRPr sz="8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1.3848979945988303E-3"/>
          <c:y val="0.86093244615112319"/>
          <c:w val="0.98762349528056148"/>
          <c:h val="0.13906755384887681"/>
        </c:manualLayout>
      </c:layout>
      <c:overlay val="0"/>
      <c:txPr>
        <a:bodyPr/>
        <a:lstStyle/>
        <a:p>
          <a:pPr rtl="0">
            <a:defRPr sz="8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Dépenses totales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F1-49A7-805C-E47582A7DC2E}"/>
              </c:ext>
            </c:extLst>
          </c:dPt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0CF1-49A7-805C-E47582A7DC2E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0CF1-49A7-805C-E47582A7DC2E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6-0CF1-49A7-805C-E47582A7DC2E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8-0CF1-49A7-805C-E47582A7DC2E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A-0CF1-49A7-805C-E47582A7DC2E}"/>
              </c:ext>
            </c:extLst>
          </c:dPt>
          <c:dLbls>
            <c:dLbl>
              <c:idx val="1"/>
              <c:layout>
                <c:manualLayout>
                  <c:x val="3.1419231443956797E-17"/>
                  <c:y val="4.2098869872670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1-49A7-805C-E47582A7DC2E}"/>
                </c:ext>
              </c:extLst>
            </c:dLbl>
            <c:dLbl>
              <c:idx val="2"/>
              <c:layout>
                <c:manualLayout>
                  <c:x val="-2.6373626373626374E-2"/>
                  <c:y val="4.6944660086503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F1-49A7-805C-E47582A7DC2E}"/>
                </c:ext>
              </c:extLst>
            </c:dLbl>
            <c:dLbl>
              <c:idx val="3"/>
              <c:layout>
                <c:manualLayout>
                  <c:x val="0"/>
                  <c:y val="-1.4290074205840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F1-49A7-805C-E47582A7DC2E}"/>
                </c:ext>
              </c:extLst>
            </c:dLbl>
            <c:dLbl>
              <c:idx val="4"/>
              <c:layout>
                <c:manualLayout>
                  <c:x val="-3.5088411443350374E-3"/>
                  <c:y val="-1.4300538014143784E-3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F1-49A7-805C-E47582A7DC2E}"/>
                </c:ext>
              </c:extLst>
            </c:dLbl>
            <c:dLbl>
              <c:idx val="5"/>
              <c:layout>
                <c:manualLayout>
                  <c:x val="4.8588874416497355E-2"/>
                  <c:y val="2.9010775362481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F1-49A7-805C-E47582A7DC2E}"/>
                </c:ext>
              </c:extLst>
            </c:dLbl>
            <c:spPr>
              <a:solidFill>
                <a:schemeClr val="accent1">
                  <a:lumMod val="75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 NET'!$B$28:$G$28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'RESULTAT NET'!$C$2:$H$2</c:f>
              <c:numCache>
                <c:formatCode>#\ ##0.0</c:formatCode>
                <c:ptCount val="6"/>
                <c:pt idx="0">
                  <c:v>15462.591830660002</c:v>
                </c:pt>
                <c:pt idx="1">
                  <c:v>15698.371049431697</c:v>
                </c:pt>
                <c:pt idx="2">
                  <c:v>16189.017363515371</c:v>
                </c:pt>
                <c:pt idx="3">
                  <c:v>16655.169012595714</c:v>
                </c:pt>
                <c:pt idx="4">
                  <c:v>17092.588253797723</c:v>
                </c:pt>
                <c:pt idx="5">
                  <c:v>17525.647959832018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F1-49A7-805C-E47582A7DC2E}"/>
            </c:ext>
          </c:extLst>
        </c:ser>
        <c:ser>
          <c:idx val="2"/>
          <c:order val="2"/>
          <c:tx>
            <c:v>Prestations sociales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0CF1-49A7-805C-E47582A7DC2E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0CF1-49A7-805C-E47582A7DC2E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1-0CF1-49A7-805C-E47582A7DC2E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3-0CF1-49A7-805C-E47582A7DC2E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0CF1-49A7-805C-E47582A7DC2E}"/>
              </c:ext>
            </c:extLst>
          </c:dPt>
          <c:dLbls>
            <c:dLbl>
              <c:idx val="0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CF1-49A7-805C-E47582A7DC2E}"/>
                </c:ext>
              </c:extLst>
            </c:dLbl>
            <c:dLbl>
              <c:idx val="1"/>
              <c:layout>
                <c:manualLayout>
                  <c:x val="2.513801159470451E-2"/>
                  <c:y val="8.916491072418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F1-49A7-805C-E47582A7DC2E}"/>
                </c:ext>
              </c:extLst>
            </c:dLbl>
            <c:dLbl>
              <c:idx val="2"/>
              <c:layout>
                <c:manualLayout>
                  <c:x val="2.891566265060241E-2"/>
                  <c:y val="5.1679586563307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F1-49A7-805C-E47582A7DC2E}"/>
                </c:ext>
              </c:extLst>
            </c:dLbl>
            <c:dLbl>
              <c:idx val="3"/>
              <c:layout>
                <c:manualLayout>
                  <c:x val="2.2489959839357431E-2"/>
                  <c:y val="2.960775443725579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F1-49A7-805C-E47582A7DC2E}"/>
                </c:ext>
              </c:extLst>
            </c:dLbl>
            <c:dLbl>
              <c:idx val="4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F1-49A7-805C-E47582A7DC2E}"/>
                </c:ext>
              </c:extLst>
            </c:dLbl>
            <c:dLbl>
              <c:idx val="5"/>
              <c:layout>
                <c:manualLayout>
                  <c:x val="2.8915662650602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F1-49A7-805C-E47582A7DC2E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 NET'!$B$28:$G$28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'RESULTAT NET'!$C$3:$H$3</c:f>
              <c:numCache>
                <c:formatCode>#\ ##0.0</c:formatCode>
                <c:ptCount val="6"/>
                <c:pt idx="0">
                  <c:v>13548.121648940003</c:v>
                </c:pt>
                <c:pt idx="1">
                  <c:v>13782.117761817268</c:v>
                </c:pt>
                <c:pt idx="2">
                  <c:v>14420.9451040161</c:v>
                </c:pt>
                <c:pt idx="3">
                  <c:v>14871.295947079065</c:v>
                </c:pt>
                <c:pt idx="4">
                  <c:v>15289.447600894282</c:v>
                </c:pt>
                <c:pt idx="5">
                  <c:v>15701.727156683919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CF1-49A7-805C-E47582A7D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776072"/>
        <c:axId val="444777248"/>
      </c:barChart>
      <c:lineChart>
        <c:grouping val="standard"/>
        <c:varyColors val="0"/>
        <c:ser>
          <c:idx val="1"/>
          <c:order val="1"/>
          <c:tx>
            <c:v>Evolution des dépenses totales</c:v>
          </c:tx>
          <c:spPr>
            <a:ln w="19050">
              <a:prstDash val="sysDot"/>
            </a:ln>
          </c:spPr>
          <c:dPt>
            <c:idx val="1"/>
            <c:bubble3D val="0"/>
            <c:spPr>
              <a:ln w="1905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CF1-49A7-805C-E47582A7DC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A-0CF1-49A7-805C-E47582A7DC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B-0CF1-49A7-805C-E47582A7DC2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C-0CF1-49A7-805C-E47582A7DC2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D-0CF1-49A7-805C-E47582A7DC2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E-0CF1-49A7-805C-E47582A7DC2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F-0CF1-49A7-805C-E47582A7DC2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0-0CF1-49A7-805C-E47582A7DC2E}"/>
              </c:ext>
            </c:extLst>
          </c:dPt>
          <c:dLbls>
            <c:dLbl>
              <c:idx val="0"/>
              <c:layout>
                <c:manualLayout>
                  <c:x val="-6.913969455937849E-2"/>
                  <c:y val="6.659578032968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CF1-49A7-805C-E47582A7DC2E}"/>
                </c:ext>
              </c:extLst>
            </c:dLbl>
            <c:dLbl>
              <c:idx val="1"/>
              <c:layout>
                <c:manualLayout>
                  <c:x val="-4.5265717432989273E-2"/>
                  <c:y val="9.5757381202593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CF1-49A7-805C-E47582A7DC2E}"/>
                </c:ext>
              </c:extLst>
            </c:dLbl>
            <c:dLbl>
              <c:idx val="2"/>
              <c:layout>
                <c:manualLayout>
                  <c:x val="-1.8181413673982866E-2"/>
                  <c:y val="3.621449028273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CF1-49A7-805C-E47582A7DC2E}"/>
                </c:ext>
              </c:extLst>
            </c:dLbl>
            <c:dLbl>
              <c:idx val="3"/>
              <c:layout>
                <c:manualLayout>
                  <c:x val="-5.356860185222969E-2"/>
                  <c:y val="9.4171956626547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CF1-49A7-805C-E47582A7DC2E}"/>
                </c:ext>
              </c:extLst>
            </c:dLbl>
            <c:dLbl>
              <c:idx val="4"/>
              <c:layout>
                <c:manualLayout>
                  <c:x val="-4.5040733939016496E-2"/>
                  <c:y val="6.354517651105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CF1-49A7-805C-E47582A7DC2E}"/>
                </c:ext>
              </c:extLst>
            </c:dLbl>
            <c:dLbl>
              <c:idx val="5"/>
              <c:layout>
                <c:manualLayout>
                  <c:x val="-5.1540365836886259E-2"/>
                  <c:y val="5.655352909946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CF1-49A7-805C-E47582A7DC2E}"/>
                </c:ext>
              </c:extLst>
            </c:dLbl>
            <c:dLbl>
              <c:idx val="6"/>
              <c:layout>
                <c:manualLayout>
                  <c:x val="-1.3917884481558803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CF1-49A7-805C-E47582A7DC2E}"/>
                </c:ext>
              </c:extLst>
            </c:dLbl>
            <c:dLbl>
              <c:idx val="7"/>
              <c:layout>
                <c:manualLayout>
                  <c:x val="-1.9485038274182426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CF1-49A7-805C-E47582A7DC2E}"/>
                </c:ext>
              </c:extLst>
            </c:dLbl>
            <c:dLbl>
              <c:idx val="8"/>
              <c:layout>
                <c:manualLayout>
                  <c:x val="-1.6701461377870562E-2"/>
                  <c:y val="5.315614617940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CF1-49A7-805C-E47582A7DC2E}"/>
                </c:ext>
              </c:extLst>
            </c:dLbl>
            <c:numFmt formatCode="0.0%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i="1">
                    <a:solidFill>
                      <a:schemeClr val="accent2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'RESULTAT NET'!$B$16:$G$16</c:f>
              <c:numCache>
                <c:formatCode>\+0.0%;\-0.0%;General</c:formatCode>
                <c:ptCount val="6"/>
                <c:pt idx="0">
                  <c:v>2.7767901089986724E-2</c:v>
                </c:pt>
                <c:pt idx="1">
                  <c:v>1.5248363363260964E-2</c:v>
                </c:pt>
                <c:pt idx="2">
                  <c:v>3.1254600400175692E-2</c:v>
                </c:pt>
                <c:pt idx="3">
                  <c:v>2.8794313985411657E-2</c:v>
                </c:pt>
                <c:pt idx="4">
                  <c:v>2.6263272433393103E-2</c:v>
                </c:pt>
                <c:pt idx="5">
                  <c:v>2.533611057635321E-2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0CF1-49A7-805C-E47582A7DC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4779600"/>
        <c:axId val="444778816"/>
      </c:lineChart>
      <c:catAx>
        <c:axId val="44477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4777248"/>
        <c:crosses val="autoZero"/>
        <c:auto val="1"/>
        <c:lblAlgn val="ctr"/>
        <c:lblOffset val="100"/>
        <c:noMultiLvlLbl val="0"/>
      </c:catAx>
      <c:valAx>
        <c:axId val="444777248"/>
        <c:scaling>
          <c:orientation val="minMax"/>
          <c:max val="19000"/>
          <c:min val="0"/>
        </c:scaling>
        <c:delete val="0"/>
        <c:axPos val="l"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4776072"/>
        <c:crosses val="autoZero"/>
        <c:crossBetween val="between"/>
        <c:majorUnit val="2000"/>
        <c:dispUnits>
          <c:builtInUnit val="thousands"/>
          <c:dispUnitsLbl>
            <c:layout>
              <c:manualLayout>
                <c:xMode val="edge"/>
                <c:yMode val="edge"/>
                <c:x val="1.7892211660070989E-2"/>
                <c:y val="0.318534221683828"/>
              </c:manualLayout>
            </c:layout>
            <c:tx>
              <c:rich>
                <a:bodyPr/>
                <a:lstStyle/>
                <a:p>
                  <a:pPr>
                    <a:defRPr sz="800" b="1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r>
                    <a:rPr lang="fr-FR"/>
                    <a:t>Milliards  d'euros</a:t>
                  </a:r>
                </a:p>
              </c:rich>
            </c:tx>
          </c:dispUnitsLbl>
        </c:dispUnits>
      </c:valAx>
      <c:valAx>
        <c:axId val="444778816"/>
        <c:scaling>
          <c:orientation val="minMax"/>
          <c:max val="4.0000000000000008E-2"/>
          <c:min val="0"/>
        </c:scaling>
        <c:delete val="0"/>
        <c:axPos val="r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rgbClr val="C00000"/>
                    </a:solidFill>
                  </a:defRPr>
                </a:pPr>
                <a:r>
                  <a:rPr lang="fr-FR" sz="800" b="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overlay val="0"/>
        </c:title>
        <c:numFmt formatCode="\+0.0%;\-0.0%;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</a:defRPr>
            </a:pPr>
            <a:endParaRPr lang="fr-FR"/>
          </a:p>
        </c:txPr>
        <c:crossAx val="444779600"/>
        <c:crosses val="max"/>
        <c:crossBetween val="between"/>
        <c:majorUnit val="1.0000000000000002E-2"/>
      </c:valAx>
      <c:catAx>
        <c:axId val="44477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477881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4.667602301007711E-2"/>
          <c:y val="0.85018564506359784"/>
          <c:w val="0.93119468202420985"/>
          <c:h val="0.14833868202966918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56257835452922E-2"/>
          <c:y val="3.5202572282447095E-2"/>
          <c:w val="0.77557046682391384"/>
          <c:h val="0.77768907838305035"/>
        </c:manualLayout>
      </c:layout>
      <c:barChart>
        <c:barDir val="col"/>
        <c:grouping val="clustered"/>
        <c:varyColors val="0"/>
        <c:ser>
          <c:idx val="0"/>
          <c:order val="0"/>
          <c:tx>
            <c:v>Dépenses totales (hors versements Régime général)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0C-438E-9F1E-243856D8EC76}"/>
              </c:ext>
            </c:extLst>
          </c:dPt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DC0C-438E-9F1E-243856D8EC76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DC0C-438E-9F1E-243856D8EC76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6-DC0C-438E-9F1E-243856D8EC76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8-DC0C-438E-9F1E-243856D8EC76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A-DC0C-438E-9F1E-243856D8EC76}"/>
              </c:ext>
            </c:extLst>
          </c:dPt>
          <c:dLbls>
            <c:dLbl>
              <c:idx val="1"/>
              <c:layout>
                <c:manualLayout>
                  <c:x val="3.1419231443956797E-17"/>
                  <c:y val="4.2098869872670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0C-438E-9F1E-243856D8EC76}"/>
                </c:ext>
              </c:extLst>
            </c:dLbl>
            <c:dLbl>
              <c:idx val="3"/>
              <c:layout>
                <c:manualLayout>
                  <c:x val="-1.8838301447763921E-2"/>
                  <c:y val="-1.9998976451063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0C-438E-9F1E-243856D8EC76}"/>
                </c:ext>
              </c:extLst>
            </c:dLbl>
            <c:dLbl>
              <c:idx val="4"/>
              <c:layout>
                <c:manualLayout>
                  <c:x val="-1.8066868390373966E-2"/>
                  <c:y val="-3.4754286083470436E-4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0C-438E-9F1E-243856D8EC76}"/>
                </c:ext>
              </c:extLst>
            </c:dLbl>
            <c:dLbl>
              <c:idx val="5"/>
              <c:layout>
                <c:manualLayout>
                  <c:x val="-2.7835768963117608E-3"/>
                  <c:y val="-4.28667346814206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C-438E-9F1E-243856D8EC76}"/>
                </c:ext>
              </c:extLst>
            </c:dLbl>
            <c:spPr>
              <a:solidFill>
                <a:schemeClr val="accent1">
                  <a:lumMod val="75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RETRAITE!$C$2:$H$2</c:f>
              <c:numCache>
                <c:formatCode>#\ ##0.0</c:formatCode>
                <c:ptCount val="6"/>
                <c:pt idx="0">
                  <c:v>6893.7466213700009</c:v>
                </c:pt>
                <c:pt idx="1">
                  <c:v>7191.9539999999997</c:v>
                </c:pt>
                <c:pt idx="2">
                  <c:v>7472.6660000000002</c:v>
                </c:pt>
                <c:pt idx="3">
                  <c:v>7771.5389999999998</c:v>
                </c:pt>
                <c:pt idx="4">
                  <c:v>8013.1310000000003</c:v>
                </c:pt>
                <c:pt idx="5">
                  <c:v>8262.7440000000006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C-438E-9F1E-243856D8EC76}"/>
            </c:ext>
          </c:extLst>
        </c:ser>
        <c:ser>
          <c:idx val="2"/>
          <c:order val="2"/>
          <c:tx>
            <c:v>Prestations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DC0C-438E-9F1E-243856D8EC76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DC0C-438E-9F1E-243856D8EC76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1-DC0C-438E-9F1E-243856D8EC76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3-DC0C-438E-9F1E-243856D8EC76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DC0C-438E-9F1E-243856D8EC76}"/>
              </c:ext>
            </c:extLst>
          </c:dPt>
          <c:dLbls>
            <c:dLbl>
              <c:idx val="0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0C-438E-9F1E-243856D8EC76}"/>
                </c:ext>
              </c:extLst>
            </c:dLbl>
            <c:dLbl>
              <c:idx val="1"/>
              <c:layout>
                <c:manualLayout>
                  <c:x val="2.513801159470451E-2"/>
                  <c:y val="8.916491072418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0C-438E-9F1E-243856D8EC76}"/>
                </c:ext>
              </c:extLst>
            </c:dLbl>
            <c:dLbl>
              <c:idx val="2"/>
              <c:layout>
                <c:manualLayout>
                  <c:x val="2.891566265060241E-2"/>
                  <c:y val="5.1679586563307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0C-438E-9F1E-243856D8EC76}"/>
                </c:ext>
              </c:extLst>
            </c:dLbl>
            <c:dLbl>
              <c:idx val="3"/>
              <c:layout>
                <c:manualLayout>
                  <c:x val="2.2489959839357431E-2"/>
                  <c:y val="2.960775443725579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0C-438E-9F1E-243856D8EC76}"/>
                </c:ext>
              </c:extLst>
            </c:dLbl>
            <c:dLbl>
              <c:idx val="4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0C-438E-9F1E-243856D8EC76}"/>
                </c:ext>
              </c:extLst>
            </c:dLbl>
            <c:dLbl>
              <c:idx val="5"/>
              <c:layout>
                <c:manualLayout>
                  <c:x val="2.8915662650602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0C-438E-9F1E-243856D8EC76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RETRAITE!$C$3:$H$3</c:f>
              <c:numCache>
                <c:formatCode>#\ ##0.0</c:formatCode>
                <c:ptCount val="6"/>
                <c:pt idx="0">
                  <c:v>6499.3807921200005</c:v>
                </c:pt>
                <c:pt idx="1">
                  <c:v>6723.6242346497584</c:v>
                </c:pt>
                <c:pt idx="2">
                  <c:v>7175.5268792288289</c:v>
                </c:pt>
                <c:pt idx="3">
                  <c:v>7472.5688793031704</c:v>
                </c:pt>
                <c:pt idx="4">
                  <c:v>7712.3725952714285</c:v>
                </c:pt>
                <c:pt idx="5">
                  <c:v>7960.1096536249661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C0C-438E-9F1E-243856D8E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781560"/>
        <c:axId val="444781952"/>
      </c:barChart>
      <c:lineChart>
        <c:grouping val="standard"/>
        <c:varyColors val="0"/>
        <c:ser>
          <c:idx val="1"/>
          <c:order val="1"/>
          <c:tx>
            <c:v>Evolution des dépenses totales</c:v>
          </c:tx>
          <c:spPr>
            <a:ln w="19050">
              <a:prstDash val="sysDot"/>
            </a:ln>
          </c:spPr>
          <c:dPt>
            <c:idx val="1"/>
            <c:bubble3D val="0"/>
            <c:spPr>
              <a:ln w="1905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C0C-438E-9F1E-243856D8EC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A-DC0C-438E-9F1E-243856D8EC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B-DC0C-438E-9F1E-243856D8EC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C-DC0C-438E-9F1E-243856D8EC7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D-DC0C-438E-9F1E-243856D8EC7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E-DC0C-438E-9F1E-243856D8EC7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F-DC0C-438E-9F1E-243856D8EC7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0-DC0C-438E-9F1E-243856D8EC76}"/>
              </c:ext>
            </c:extLst>
          </c:dPt>
          <c:dLbls>
            <c:dLbl>
              <c:idx val="0"/>
              <c:layout>
                <c:manualLayout>
                  <c:x val="-7.5991427188223964E-2"/>
                  <c:y val="4.578378083875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0C-438E-9F1E-243856D8EC76}"/>
                </c:ext>
              </c:extLst>
            </c:dLbl>
            <c:dLbl>
              <c:idx val="1"/>
              <c:layout>
                <c:manualLayout>
                  <c:x val="-5.8316327220142442E-3"/>
                  <c:y val="3.9239356918825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0C-438E-9F1E-243856D8EC76}"/>
                </c:ext>
              </c:extLst>
            </c:dLbl>
            <c:dLbl>
              <c:idx val="2"/>
              <c:layout>
                <c:manualLayout>
                  <c:x val="-6.3344489079883298E-2"/>
                  <c:y val="-5.7750385658617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0C-438E-9F1E-243856D8EC76}"/>
                </c:ext>
              </c:extLst>
            </c:dLbl>
            <c:dLbl>
              <c:idx val="3"/>
              <c:layout>
                <c:manualLayout>
                  <c:x val="-3.4781800387841566E-2"/>
                  <c:y val="8.2061135115770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0C-438E-9F1E-243856D8EC76}"/>
                </c:ext>
              </c:extLst>
            </c:dLbl>
            <c:dLbl>
              <c:idx val="4"/>
              <c:layout>
                <c:manualLayout>
                  <c:x val="-7.2437126281613584E-2"/>
                  <c:y val="9.201002304699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0C-438E-9F1E-243856D8EC76}"/>
                </c:ext>
              </c:extLst>
            </c:dLbl>
            <c:dLbl>
              <c:idx val="5"/>
              <c:layout>
                <c:manualLayout>
                  <c:x val="-6.4581326508504983E-2"/>
                  <c:y val="6.0888427993978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0C-438E-9F1E-243856D8EC76}"/>
                </c:ext>
              </c:extLst>
            </c:dLbl>
            <c:dLbl>
              <c:idx val="6"/>
              <c:layout>
                <c:manualLayout>
                  <c:x val="-1.3917884481558803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0C-438E-9F1E-243856D8EC76}"/>
                </c:ext>
              </c:extLst>
            </c:dLbl>
            <c:dLbl>
              <c:idx val="7"/>
              <c:layout>
                <c:manualLayout>
                  <c:x val="-1.9485038274182426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0C-438E-9F1E-243856D8EC76}"/>
                </c:ext>
              </c:extLst>
            </c:dLbl>
            <c:dLbl>
              <c:idx val="8"/>
              <c:layout>
                <c:manualLayout>
                  <c:x val="-1.6701461377870562E-2"/>
                  <c:y val="5.315614617940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0C-438E-9F1E-243856D8EC76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i="1">
                    <a:solidFill>
                      <a:schemeClr val="accent2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RETRAITE!$B$15:$G$15</c:f>
              <c:numCache>
                <c:formatCode>\+0.0%;\-0.0%;General</c:formatCode>
                <c:ptCount val="6"/>
                <c:pt idx="0">
                  <c:v>1.299188879330071E-2</c:v>
                </c:pt>
                <c:pt idx="1">
                  <c:v>4.3257664519549044E-2</c:v>
                </c:pt>
                <c:pt idx="2">
                  <c:v>3.9031395362094878E-2</c:v>
                </c:pt>
                <c:pt idx="3">
                  <c:v>3.9995498259924878E-2</c:v>
                </c:pt>
                <c:pt idx="4">
                  <c:v>3.1086764153149149E-2</c:v>
                </c:pt>
                <c:pt idx="5">
                  <c:v>3.1150495355685592E-2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DC0C-438E-9F1E-243856D8EC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4777640"/>
        <c:axId val="444782344"/>
      </c:lineChart>
      <c:catAx>
        <c:axId val="44478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4781952"/>
        <c:crosses val="autoZero"/>
        <c:auto val="1"/>
        <c:lblAlgn val="ctr"/>
        <c:lblOffset val="100"/>
        <c:noMultiLvlLbl val="0"/>
      </c:catAx>
      <c:valAx>
        <c:axId val="444781952"/>
        <c:scaling>
          <c:orientation val="minMax"/>
          <c:max val="9000"/>
          <c:min val="0"/>
        </c:scaling>
        <c:delete val="0"/>
        <c:axPos val="l"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4781560"/>
        <c:crosses val="autoZero"/>
        <c:crossBetween val="between"/>
        <c:majorUnit val="1000"/>
      </c:valAx>
      <c:valAx>
        <c:axId val="444782344"/>
        <c:scaling>
          <c:orientation val="minMax"/>
          <c:max val="8.0000000000000016E-2"/>
          <c:min val="0"/>
        </c:scaling>
        <c:delete val="0"/>
        <c:axPos val="r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rgbClr val="C00000"/>
                    </a:solidFill>
                  </a:defRPr>
                </a:pPr>
                <a:r>
                  <a:rPr lang="fr-FR" sz="800" b="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4233794439746732"/>
              <c:y val="0.31400911029257372"/>
            </c:manualLayout>
          </c:layout>
          <c:overlay val="0"/>
        </c:title>
        <c:numFmt formatCode="\+0.0%;\-0.0%;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</a:defRPr>
            </a:pPr>
            <a:endParaRPr lang="fr-FR"/>
          </a:p>
        </c:txPr>
        <c:crossAx val="444777640"/>
        <c:crosses val="max"/>
        <c:crossBetween val="between"/>
        <c:majorUnit val="1.0000000000000002E-2"/>
      </c:valAx>
      <c:catAx>
        <c:axId val="444777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478234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0"/>
          <c:y val="0.88114639567954611"/>
          <c:w val="1"/>
          <c:h val="0.1124532348482952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Recettes totales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56A-4408-BCCA-649E7A383EE5}"/>
              </c:ext>
            </c:extLst>
          </c:dPt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256A-4408-BCCA-649E7A383EE5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256A-4408-BCCA-649E7A383EE5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6-256A-4408-BCCA-649E7A383EE5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8-256A-4408-BCCA-649E7A383EE5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A-256A-4408-BCCA-649E7A383EE5}"/>
              </c:ext>
            </c:extLst>
          </c:dPt>
          <c:dLbls>
            <c:dLbl>
              <c:idx val="1"/>
              <c:layout>
                <c:manualLayout>
                  <c:x val="3.1419231443956797E-17"/>
                  <c:y val="4.2098869872670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6A-4408-BCCA-649E7A383EE5}"/>
                </c:ext>
              </c:extLst>
            </c:dLbl>
            <c:dLbl>
              <c:idx val="2"/>
              <c:layout>
                <c:manualLayout>
                  <c:x val="-2.6373626373626374E-2"/>
                  <c:y val="4.6944660086503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6A-4408-BCCA-649E7A383EE5}"/>
                </c:ext>
              </c:extLst>
            </c:dLbl>
            <c:dLbl>
              <c:idx val="3"/>
              <c:layout>
                <c:manualLayout>
                  <c:x val="0"/>
                  <c:y val="-1.4290074205840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6A-4408-BCCA-649E7A383EE5}"/>
                </c:ext>
              </c:extLst>
            </c:dLbl>
            <c:dLbl>
              <c:idx val="4"/>
              <c:layout>
                <c:manualLayout>
                  <c:x val="-3.5088411443350374E-3"/>
                  <c:y val="-1.4300538014143784E-3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6A-4408-BCCA-649E7A383EE5}"/>
                </c:ext>
              </c:extLst>
            </c:dLbl>
            <c:dLbl>
              <c:idx val="5"/>
              <c:layout>
                <c:manualLayout>
                  <c:x val="-2.1499591447086329E-4"/>
                  <c:y val="-1.2774699458863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6A-4408-BCCA-649E7A383EE5}"/>
                </c:ext>
              </c:extLst>
            </c:dLbl>
            <c:spPr>
              <a:solidFill>
                <a:schemeClr val="accent1">
                  <a:lumMod val="75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RETRAITE!$C$4:$H$4</c:f>
              <c:numCache>
                <c:formatCode>#\ ##0.0</c:formatCode>
                <c:ptCount val="6"/>
                <c:pt idx="0">
                  <c:v>6893.7466213700009</c:v>
                </c:pt>
                <c:pt idx="1">
                  <c:v>7191.9539999999997</c:v>
                </c:pt>
                <c:pt idx="2">
                  <c:v>7472.6660000000002</c:v>
                </c:pt>
                <c:pt idx="3">
                  <c:v>7771.5389999999998</c:v>
                </c:pt>
                <c:pt idx="4">
                  <c:v>8013.1310000000003</c:v>
                </c:pt>
                <c:pt idx="5">
                  <c:v>8262.7440000000006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6A-4408-BCCA-649E7A383EE5}"/>
            </c:ext>
          </c:extLst>
        </c:ser>
        <c:ser>
          <c:idx val="2"/>
          <c:order val="2"/>
          <c:tx>
            <c:v>Cotisations sociales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256A-4408-BCCA-649E7A383EE5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256A-4408-BCCA-649E7A383EE5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1-256A-4408-BCCA-649E7A383EE5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3-256A-4408-BCCA-649E7A383EE5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60000"/>
                    <a:lumOff val="40000"/>
                  </a:schemeClr>
                </a:fgClr>
                <a:bgClr>
                  <a:prstClr val="white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256A-4408-BCCA-649E7A383EE5}"/>
              </c:ext>
            </c:extLst>
          </c:dPt>
          <c:dLbls>
            <c:dLbl>
              <c:idx val="0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56A-4408-BCCA-649E7A383EE5}"/>
                </c:ext>
              </c:extLst>
            </c:dLbl>
            <c:dLbl>
              <c:idx val="1"/>
              <c:layout>
                <c:manualLayout>
                  <c:x val="2.513801159470451E-2"/>
                  <c:y val="8.916491072418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6A-4408-BCCA-649E7A383EE5}"/>
                </c:ext>
              </c:extLst>
            </c:dLbl>
            <c:dLbl>
              <c:idx val="2"/>
              <c:layout>
                <c:manualLayout>
                  <c:x val="2.891566265060241E-2"/>
                  <c:y val="5.1679586563307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6A-4408-BCCA-649E7A383EE5}"/>
                </c:ext>
              </c:extLst>
            </c:dLbl>
            <c:dLbl>
              <c:idx val="3"/>
              <c:layout>
                <c:manualLayout>
                  <c:x val="2.2489959839357431E-2"/>
                  <c:y val="2.960775443725579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6A-4408-BCCA-649E7A383EE5}"/>
                </c:ext>
              </c:extLst>
            </c:dLbl>
            <c:dLbl>
              <c:idx val="4"/>
              <c:layout>
                <c:manualLayout>
                  <c:x val="2.5702811244979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6A-4408-BCCA-649E7A383EE5}"/>
                </c:ext>
              </c:extLst>
            </c:dLbl>
            <c:dLbl>
              <c:idx val="5"/>
              <c:layout>
                <c:manualLayout>
                  <c:x val="2.8915662650602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6A-4408-BCCA-649E7A383EE5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RETRAITE!$C$5:$H$5</c:f>
              <c:numCache>
                <c:formatCode>#\ ##0.0</c:formatCode>
                <c:ptCount val="6"/>
                <c:pt idx="0">
                  <c:v>3132.4160716800002</c:v>
                </c:pt>
                <c:pt idx="1">
                  <c:v>3291.2717900944872</c:v>
                </c:pt>
                <c:pt idx="2">
                  <c:v>3384.8921348363301</c:v>
                </c:pt>
                <c:pt idx="3">
                  <c:v>3430.1954107600482</c:v>
                </c:pt>
                <c:pt idx="4">
                  <c:v>3480.2584833295164</c:v>
                </c:pt>
                <c:pt idx="5">
                  <c:v>3530.4310238130602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56A-4408-BCCA-649E7A383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34824"/>
        <c:axId val="445232472"/>
      </c:barChart>
      <c:lineChart>
        <c:grouping val="standard"/>
        <c:varyColors val="0"/>
        <c:ser>
          <c:idx val="1"/>
          <c:order val="1"/>
          <c:tx>
            <c:v>Evolution des recettes totales</c:v>
          </c:tx>
          <c:spPr>
            <a:ln w="19050">
              <a:prstDash val="sysDot"/>
            </a:ln>
          </c:spPr>
          <c:dPt>
            <c:idx val="1"/>
            <c:bubble3D val="0"/>
            <c:spPr>
              <a:ln w="1905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56A-4408-BCCA-649E7A383EE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A-256A-4408-BCCA-649E7A383EE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B-256A-4408-BCCA-649E7A383EE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C-256A-4408-BCCA-649E7A383EE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D-256A-4408-BCCA-649E7A383EE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E-256A-4408-BCCA-649E7A383EE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F-256A-4408-BCCA-649E7A383EE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0-256A-4408-BCCA-649E7A383EE5}"/>
              </c:ext>
            </c:extLst>
          </c:dPt>
          <c:dLbls>
            <c:dLbl>
              <c:idx val="0"/>
              <c:layout>
                <c:manualLayout>
                  <c:x val="-5.4193330474811299E-2"/>
                  <c:y val="-5.936280200570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56A-4408-BCCA-649E7A383EE5}"/>
                </c:ext>
              </c:extLst>
            </c:dLbl>
            <c:dLbl>
              <c:idx val="1"/>
              <c:layout>
                <c:manualLayout>
                  <c:x val="-9.3661766728421525E-2"/>
                  <c:y val="3.1833705971938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56A-4408-BCCA-649E7A383EE5}"/>
                </c:ext>
              </c:extLst>
            </c:dLbl>
            <c:dLbl>
              <c:idx val="2"/>
              <c:layout>
                <c:manualLayout>
                  <c:x val="-9.5240156301827514E-2"/>
                  <c:y val="-2.8362982404977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56A-4408-BCCA-649E7A383EE5}"/>
                </c:ext>
              </c:extLst>
            </c:dLbl>
            <c:dLbl>
              <c:idx val="3"/>
              <c:layout>
                <c:manualLayout>
                  <c:x val="-3.2253091005133794E-2"/>
                  <c:y val="8.868781934802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56A-4408-BCCA-649E7A383EE5}"/>
                </c:ext>
              </c:extLst>
            </c:dLbl>
            <c:dLbl>
              <c:idx val="4"/>
              <c:layout>
                <c:manualLayout>
                  <c:x val="-0.11182497754981514"/>
                  <c:y val="5.6315090243349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56A-4408-BCCA-649E7A383EE5}"/>
                </c:ext>
              </c:extLst>
            </c:dLbl>
            <c:dLbl>
              <c:idx val="5"/>
              <c:layout>
                <c:manualLayout>
                  <c:x val="-0.118324609447685"/>
                  <c:y val="4.571433200479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56A-4408-BCCA-649E7A383EE5}"/>
                </c:ext>
              </c:extLst>
            </c:dLbl>
            <c:dLbl>
              <c:idx val="6"/>
              <c:layout>
                <c:manualLayout>
                  <c:x val="-1.3917884481558803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56A-4408-BCCA-649E7A383EE5}"/>
                </c:ext>
              </c:extLst>
            </c:dLbl>
            <c:dLbl>
              <c:idx val="7"/>
              <c:layout>
                <c:manualLayout>
                  <c:x val="-1.9485038274182426E-2"/>
                  <c:y val="5.315614617940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56A-4408-BCCA-649E7A383EE5}"/>
                </c:ext>
              </c:extLst>
            </c:dLbl>
            <c:dLbl>
              <c:idx val="8"/>
              <c:layout>
                <c:manualLayout>
                  <c:x val="-1.6701461377870562E-2"/>
                  <c:y val="5.315614617940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56A-4408-BCCA-649E7A383EE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i="1">
                    <a:solidFill>
                      <a:schemeClr val="accent2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RETRAITE!$B$17:$G$17</c:f>
              <c:numCache>
                <c:formatCode>\+0.0%;\-0.0%;General</c:formatCode>
                <c:ptCount val="6"/>
                <c:pt idx="0">
                  <c:v>1.2991888793300932E-2</c:v>
                </c:pt>
                <c:pt idx="1">
                  <c:v>4.3257664519549044E-2</c:v>
                </c:pt>
                <c:pt idx="2">
                  <c:v>3.9031395362094878E-2</c:v>
                </c:pt>
                <c:pt idx="3">
                  <c:v>3.9995498259924878E-2</c:v>
                </c:pt>
                <c:pt idx="4">
                  <c:v>3.1086764153149149E-2</c:v>
                </c:pt>
                <c:pt idx="5">
                  <c:v>3.1150495355685592E-2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56A-4408-BCCA-649E7A383E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5231296"/>
        <c:axId val="445237960"/>
      </c:lineChart>
      <c:catAx>
        <c:axId val="44523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232472"/>
        <c:crosses val="autoZero"/>
        <c:auto val="1"/>
        <c:lblAlgn val="ctr"/>
        <c:lblOffset val="100"/>
        <c:noMultiLvlLbl val="0"/>
      </c:catAx>
      <c:valAx>
        <c:axId val="445232472"/>
        <c:scaling>
          <c:orientation val="minMax"/>
          <c:max val="10000"/>
          <c:min val="0"/>
        </c:scaling>
        <c:delete val="0"/>
        <c:axPos val="l"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234824"/>
        <c:crosses val="autoZero"/>
        <c:crossBetween val="between"/>
        <c:majorUnit val="2000"/>
      </c:valAx>
      <c:valAx>
        <c:axId val="445237960"/>
        <c:scaling>
          <c:orientation val="minMax"/>
          <c:max val="8.0000000000000016E-2"/>
          <c:min val="0"/>
        </c:scaling>
        <c:delete val="0"/>
        <c:axPos val="r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rgbClr val="C00000"/>
                    </a:solidFill>
                  </a:defRPr>
                </a:pPr>
                <a:r>
                  <a:rPr lang="fr-FR" sz="800" b="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overlay val="0"/>
        </c:title>
        <c:numFmt formatCode="\+0.0%;\-0.0%;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</a:defRPr>
            </a:pPr>
            <a:endParaRPr lang="fr-FR"/>
          </a:p>
        </c:txPr>
        <c:crossAx val="445231296"/>
        <c:crosses val="max"/>
        <c:crossBetween val="between"/>
        <c:majorUnit val="1.0000000000000002E-2"/>
      </c:valAx>
      <c:catAx>
        <c:axId val="44523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23796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</c:legendEntry>
      <c:overlay val="0"/>
      <c:txPr>
        <a:bodyPr/>
        <a:lstStyle/>
        <a:p>
          <a:pPr>
            <a:defRPr sz="9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43702698639365E-2"/>
          <c:y val="9.7240726087072127E-2"/>
          <c:w val="0.81039535924640371"/>
          <c:h val="0.71914802260171151"/>
        </c:manualLayout>
      </c:layout>
      <c:barChart>
        <c:barDir val="col"/>
        <c:grouping val="clustered"/>
        <c:varyColors val="0"/>
        <c:ser>
          <c:idx val="0"/>
          <c:order val="0"/>
          <c:tx>
            <c:v>Cotisations sociales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19-4B34-BED4-49F1111611F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19-4B34-BED4-49F1111611FF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2619-4B34-BED4-49F1111611F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2619-4B34-BED4-49F1111611FF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2619-4B34-BED4-49F1111611FF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2619-4B34-BED4-49F1111611F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2619-4B34-BED4-49F1111611FF}"/>
              </c:ext>
            </c:extLst>
          </c:dPt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RETRAITE!$B$29:$G$29</c:f>
              <c:numCache>
                <c:formatCode>0.0</c:formatCode>
                <c:ptCount val="6"/>
                <c:pt idx="0">
                  <c:v>1.6160495938540069</c:v>
                </c:pt>
                <c:pt idx="1">
                  <c:v>2.3043451861437485</c:v>
                </c:pt>
                <c:pt idx="2">
                  <c:v>1.3017372572439008</c:v>
                </c:pt>
                <c:pt idx="3">
                  <c:v>0.60625318893843638</c:v>
                </c:pt>
                <c:pt idx="4">
                  <c:v>0.64418479492244718</c:v>
                </c:pt>
                <c:pt idx="5">
                  <c:v>0.62612904348554455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619-4B34-BED4-49F1111611FF}"/>
            </c:ext>
          </c:extLst>
        </c:ser>
        <c:ser>
          <c:idx val="1"/>
          <c:order val="1"/>
          <c:tx>
            <c:v>Compensation démographique vieillesse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2619-4B34-BED4-49F1111611FF}"/>
              </c:ext>
            </c:extLst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2619-4B34-BED4-49F1111611FF}"/>
              </c:ext>
            </c:extLst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2619-4B34-BED4-49F1111611FF}"/>
              </c:ext>
            </c:extLst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2619-4B34-BED4-49F1111611F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2619-4B34-BED4-49F1111611FF}"/>
              </c:ext>
            </c:extLst>
          </c:dPt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RETRAITE!$B$30:$G$30</c:f>
              <c:numCache>
                <c:formatCode>0.0</c:formatCode>
                <c:ptCount val="6"/>
                <c:pt idx="0">
                  <c:v>-0.86969421427020299</c:v>
                </c:pt>
                <c:pt idx="1">
                  <c:v>1.6833715823634718</c:v>
                </c:pt>
                <c:pt idx="2">
                  <c:v>0.20559328996287315</c:v>
                </c:pt>
                <c:pt idx="3">
                  <c:v>0.10247153115748907</c:v>
                </c:pt>
                <c:pt idx="4">
                  <c:v>-0.11465367315234518</c:v>
                </c:pt>
                <c:pt idx="5">
                  <c:v>-0.25510222183117659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619-4B34-BED4-49F1111611FF}"/>
            </c:ext>
          </c:extLst>
        </c:ser>
        <c:ser>
          <c:idx val="2"/>
          <c:order val="2"/>
          <c:tx>
            <c:v>CSG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2619-4B34-BED4-49F1111611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2619-4B34-BED4-49F1111611F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2619-4B34-BED4-49F1111611F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2619-4B34-BED4-49F1111611F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2619-4B34-BED4-49F1111611FF}"/>
              </c:ext>
            </c:extLst>
          </c:dPt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RETRAITE!$B$31:$G$31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2619-4B34-BED4-49F1111611FF}"/>
            </c:ext>
          </c:extLst>
        </c:ser>
        <c:ser>
          <c:idx val="3"/>
          <c:order val="3"/>
          <c:tx>
            <c:v>Impôts et taxes affectés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4-2619-4B34-BED4-49F1111611FF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2619-4B34-BED4-49F1111611FF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2619-4B34-BED4-49F1111611FF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2619-4B34-BED4-49F1111611FF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2619-4B34-BED4-49F1111611FF}"/>
              </c:ext>
            </c:extLst>
          </c:dPt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RETRAITE!$B$32:$G$32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2619-4B34-BED4-49F111161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35608"/>
        <c:axId val="445234432"/>
      </c:barChart>
      <c:lineChart>
        <c:grouping val="standard"/>
        <c:varyColors val="0"/>
        <c:ser>
          <c:idx val="5"/>
          <c:order val="4"/>
          <c:tx>
            <c:v>Evolution des recettes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2F-2619-4B34-BED4-49F1111611FF}"/>
              </c:ext>
            </c:extLst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1-2619-4B34-BED4-49F1111611FF}"/>
              </c:ext>
            </c:extLst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3-2619-4B34-BED4-49F1111611FF}"/>
              </c:ext>
            </c:extLst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5-2619-4B34-BED4-49F1111611FF}"/>
              </c:ext>
            </c:extLst>
          </c:dPt>
          <c:dLbls>
            <c:dLbl>
              <c:idx val="0"/>
              <c:layout>
                <c:manualLayout>
                  <c:x val="-6.5527227549520561E-2"/>
                  <c:y val="4.313984844803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619-4B34-BED4-49F1111611FF}"/>
                </c:ext>
              </c:extLst>
            </c:dLbl>
            <c:dLbl>
              <c:idx val="1"/>
              <c:layout>
                <c:manualLayout>
                  <c:x val="-8.4024000339969401E-2"/>
                  <c:y val="1.1488829745601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619-4B34-BED4-49F1111611FF}"/>
                </c:ext>
              </c:extLst>
            </c:dLbl>
            <c:dLbl>
              <c:idx val="2"/>
              <c:layout>
                <c:manualLayout>
                  <c:x val="-2.3455857722804948E-2"/>
                  <c:y val="6.0121627572688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619-4B34-BED4-49F1111611FF}"/>
                </c:ext>
              </c:extLst>
            </c:dLbl>
            <c:dLbl>
              <c:idx val="3"/>
              <c:layout>
                <c:manualLayout>
                  <c:x val="-3.3471348625800472E-2"/>
                  <c:y val="6.940465775111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619-4B34-BED4-49F1111611FF}"/>
                </c:ext>
              </c:extLst>
            </c:dLbl>
            <c:dLbl>
              <c:idx val="4"/>
              <c:layout>
                <c:manualLayout>
                  <c:x val="-3.3488236058754714E-2"/>
                  <c:y val="4.5938030729712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619-4B34-BED4-49F1111611FF}"/>
                </c:ext>
              </c:extLst>
            </c:dLbl>
            <c:dLbl>
              <c:idx val="5"/>
              <c:layout>
                <c:manualLayout>
                  <c:x val="-2.1583057524822764E-2"/>
                  <c:y val="4.5938030729711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619-4B34-BED4-49F1111611FF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RETRAITE!$B$17:$G$17</c:f>
              <c:numCache>
                <c:formatCode>\+0.0%;\-0.0%;General</c:formatCode>
                <c:ptCount val="6"/>
                <c:pt idx="0">
                  <c:v>1.2991888793300932E-2</c:v>
                </c:pt>
                <c:pt idx="1">
                  <c:v>4.3257664519549044E-2</c:v>
                </c:pt>
                <c:pt idx="2">
                  <c:v>3.9031395362094878E-2</c:v>
                </c:pt>
                <c:pt idx="3">
                  <c:v>3.9995498259924878E-2</c:v>
                </c:pt>
                <c:pt idx="4">
                  <c:v>3.1086764153149149E-2</c:v>
                </c:pt>
                <c:pt idx="5">
                  <c:v>3.1150495355685592E-2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2619-4B34-BED4-49F111161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36000"/>
        <c:axId val="445230512"/>
      </c:lineChart>
      <c:catAx>
        <c:axId val="445235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234432"/>
        <c:crosses val="autoZero"/>
        <c:auto val="1"/>
        <c:lblAlgn val="ctr"/>
        <c:lblOffset val="100"/>
        <c:noMultiLvlLbl val="0"/>
      </c:catAx>
      <c:valAx>
        <c:axId val="445234432"/>
        <c:scaling>
          <c:orientation val="minMax"/>
          <c:max val="4"/>
          <c:min val="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3078880407124679E-2"/>
              <c:y val="7.043435360053677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235608"/>
        <c:crosses val="autoZero"/>
        <c:crossBetween val="between"/>
        <c:majorUnit val="2"/>
      </c:valAx>
      <c:valAx>
        <c:axId val="445230512"/>
        <c:scaling>
          <c:orientation val="minMax"/>
          <c:max val="8.0000000000000016E-2"/>
          <c:min val="-2.0000000000000004E-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3526634577810797"/>
              <c:y val="0.53376174657818432"/>
            </c:manualLayout>
          </c:layout>
          <c:overlay val="0"/>
        </c:title>
        <c:numFmt formatCode="\+0.0%;\-0.0%;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445236000"/>
        <c:crosses val="max"/>
        <c:crossBetween val="between"/>
        <c:majorUnit val="2.0000000000000004E-2"/>
      </c:valAx>
      <c:catAx>
        <c:axId val="44523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2305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4"/>
        <c:txPr>
          <a:bodyPr/>
          <a:lstStyle/>
          <a:p>
            <a:pPr>
              <a:defRPr sz="8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2.4631327085108221E-2"/>
          <c:y val="0.85908632556221376"/>
          <c:w val="0.96461623654891648"/>
          <c:h val="0.13359194455690537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505287178612"/>
          <c:y val="0.10799059896251624"/>
          <c:w val="0.77403683083625263"/>
          <c:h val="0.69373880395783838"/>
        </c:manualLayout>
      </c:layout>
      <c:barChart>
        <c:barDir val="col"/>
        <c:grouping val="clustered"/>
        <c:varyColors val="0"/>
        <c:ser>
          <c:idx val="0"/>
          <c:order val="0"/>
          <c:tx>
            <c:v>Prestations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2C-475C-B692-70EF6CCBDDA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2C-475C-B692-70EF6CCBDDA4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A52C-475C-B692-70EF6CCBDDA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A52C-475C-B692-70EF6CCBDDA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A52C-475C-B692-70EF6CCBDDA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A52C-475C-B692-70EF6CCBDDA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A52C-475C-B692-70EF6CCBDDA4}"/>
              </c:ext>
            </c:extLst>
          </c:dPt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'TCDC SA (Charges)'!$B$56:$G$56</c:f>
              <c:numCache>
                <c:formatCode>0.0</c:formatCode>
                <c:ptCount val="6"/>
                <c:pt idx="0">
                  <c:v>4.0601123902504384</c:v>
                </c:pt>
                <c:pt idx="1">
                  <c:v>1.5133039909778059</c:v>
                </c:pt>
                <c:pt idx="2">
                  <c:v>4.0693847459117354</c:v>
                </c:pt>
                <c:pt idx="3">
                  <c:v>2.7818285142784704</c:v>
                </c:pt>
                <c:pt idx="4">
                  <c:v>2.5106412655240269</c:v>
                </c:pt>
                <c:pt idx="5">
                  <c:v>2.4120364368454172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2C-475C-B692-70EF6CCBDDA4}"/>
            </c:ext>
          </c:extLst>
        </c:ser>
        <c:ser>
          <c:idx val="1"/>
          <c:order val="1"/>
          <c:tx>
            <c:v>Charges techniques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A52C-475C-B692-70EF6CCBDDA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A52C-475C-B692-70EF6CCBDDA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A52C-475C-B692-70EF6CCBDDA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A52C-475C-B692-70EF6CCBDDA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A52C-475C-B692-70EF6CCBDDA4}"/>
              </c:ext>
            </c:extLst>
          </c:dPt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'TCDC SA (Charges)'!$B$57:$G$57</c:f>
              <c:numCache>
                <c:formatCode>0.0</c:formatCode>
                <c:ptCount val="6"/>
                <c:pt idx="0">
                  <c:v>-1.0729328701596792</c:v>
                </c:pt>
                <c:pt idx="1">
                  <c:v>-4.5838083293982826E-2</c:v>
                </c:pt>
                <c:pt idx="2">
                  <c:v>-1.0337759702100047</c:v>
                </c:pt>
                <c:pt idx="3">
                  <c:v>6.4845117080376297E-2</c:v>
                </c:pt>
                <c:pt idx="4">
                  <c:v>6.7753627003200798E-2</c:v>
                </c:pt>
                <c:pt idx="5">
                  <c:v>7.9303820110453144E-2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52C-475C-B692-70EF6CCBDDA4}"/>
            </c:ext>
          </c:extLst>
        </c:ser>
        <c:ser>
          <c:idx val="2"/>
          <c:order val="2"/>
          <c:tx>
            <c:v>Charges financières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A52C-475C-B692-70EF6CCBDD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A52C-475C-B692-70EF6CCBDD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A52C-475C-B692-70EF6CCBDD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A52C-475C-B692-70EF6CCBDD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A52C-475C-B692-70EF6CCBDDA4}"/>
              </c:ext>
            </c:extLst>
          </c:dPt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'TCDC SA (Charges)'!$B$58:$G$58</c:f>
              <c:numCache>
                <c:formatCode>0.0</c:formatCode>
                <c:ptCount val="6"/>
                <c:pt idx="0">
                  <c:v>8.8979406840767397E-3</c:v>
                </c:pt>
                <c:pt idx="1">
                  <c:v>2.1295869224169703E-4</c:v>
                </c:pt>
                <c:pt idx="2">
                  <c:v>2.32169253225488E-4</c:v>
                </c:pt>
                <c:pt idx="3">
                  <c:v>2.58997247573805E-4</c:v>
                </c:pt>
                <c:pt idx="4">
                  <c:v>2.8411056298678801E-4</c:v>
                </c:pt>
                <c:pt idx="5">
                  <c:v>8.628673066520608E-5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52C-475C-B692-70EF6CCBDDA4}"/>
            </c:ext>
          </c:extLst>
        </c:ser>
        <c:ser>
          <c:idx val="3"/>
          <c:order val="3"/>
          <c:tx>
            <c:v>Charges exceptionnelles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4-A52C-475C-B692-70EF6CCBDDA4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A52C-475C-B692-70EF6CCBDDA4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A52C-475C-B692-70EF6CCBDDA4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A52C-475C-B692-70EF6CCBDDA4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A52C-475C-B692-70EF6CCBDDA4}"/>
              </c:ext>
            </c:extLst>
          </c:dPt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'TCDC SA (Charges)'!$B$59:$G$59</c:f>
              <c:numCache>
                <c:formatCode>0.0</c:formatCode>
                <c:ptCount val="6"/>
                <c:pt idx="0">
                  <c:v>-1.6377470748847555E-2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A52C-475C-B692-70EF6CCBDDA4}"/>
            </c:ext>
          </c:extLst>
        </c:ser>
        <c:ser>
          <c:idx val="4"/>
          <c:order val="4"/>
          <c:tx>
            <c:v>Dotations aux provisions</c:v>
          </c:tx>
          <c:spPr>
            <a:pattFill prst="pct50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F-A52C-475C-B692-70EF6CCBDDA4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1-A52C-475C-B692-70EF6CCBDDA4}"/>
              </c:ext>
            </c:extLst>
          </c:dPt>
          <c:dPt>
            <c:idx val="3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3-A52C-475C-B692-70EF6CCBDDA4}"/>
              </c:ext>
            </c:extLst>
          </c:dPt>
          <c:dPt>
            <c:idx val="4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5-A52C-475C-B692-70EF6CCBDDA4}"/>
              </c:ext>
            </c:extLst>
          </c:dPt>
          <c:dPt>
            <c:idx val="5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7-A52C-475C-B692-70EF6CCBDDA4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9-A52C-475C-B692-70EF6CCBDDA4}"/>
              </c:ext>
            </c:extLst>
          </c:dPt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'TCDC SA (Charges)'!$B$60:$G$60</c:f>
              <c:numCache>
                <c:formatCode>0.0</c:formatCode>
                <c:ptCount val="6"/>
                <c:pt idx="0">
                  <c:v>-0.25901288993044058</c:v>
                </c:pt>
                <c:pt idx="1">
                  <c:v>0.14204099559006769</c:v>
                </c:pt>
                <c:pt idx="2">
                  <c:v>0.16197232214144566</c:v>
                </c:pt>
                <c:pt idx="3">
                  <c:v>0.1007267983239573</c:v>
                </c:pt>
                <c:pt idx="4">
                  <c:v>0.11212191075781008</c:v>
                </c:pt>
                <c:pt idx="5">
                  <c:v>0.10323782876141768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52C-475C-B692-70EF6CCBDDA4}"/>
            </c:ext>
          </c:extLst>
        </c:ser>
        <c:ser>
          <c:idx val="6"/>
          <c:order val="5"/>
          <c:tx>
            <c:v>Charges de gestion courante</c:v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RETRAITE!$B$27:$G$27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'TCDC SA (Charges)'!$B$61:$G$61</c:f>
              <c:numCache>
                <c:formatCode>0.0</c:formatCode>
                <c:ptCount val="6"/>
                <c:pt idx="0">
                  <c:v>5.6488666514914056E-2</c:v>
                </c:pt>
                <c:pt idx="1">
                  <c:v>-8.4888319681297106E-2</c:v>
                </c:pt>
                <c:pt idx="2">
                  <c:v>-7.236163925718353E-2</c:v>
                </c:pt>
                <c:pt idx="3">
                  <c:v>-6.8233927799686789E-2</c:v>
                </c:pt>
                <c:pt idx="4">
                  <c:v>-6.4475443128119453E-2</c:v>
                </c:pt>
                <c:pt idx="5">
                  <c:v>-6.1054092548322891E-2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A52C-475C-B692-70EF6CCBD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31688"/>
        <c:axId val="445236392"/>
      </c:barChart>
      <c:lineChart>
        <c:grouping val="standard"/>
        <c:varyColors val="0"/>
        <c:ser>
          <c:idx val="5"/>
          <c:order val="6"/>
          <c:tx>
            <c:v>Evolution des dépenses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D-A52C-475C-B692-70EF6CCBDDA4}"/>
              </c:ext>
            </c:extLst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F-A52C-475C-B692-70EF6CCBDDA4}"/>
              </c:ext>
            </c:extLst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41-A52C-475C-B692-70EF6CCBDDA4}"/>
              </c:ext>
            </c:extLst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43-A52C-475C-B692-70EF6CCBDDA4}"/>
              </c:ext>
            </c:extLst>
          </c:dPt>
          <c:dLbls>
            <c:dLbl>
              <c:idx val="0"/>
              <c:layout>
                <c:manualLayout>
                  <c:x val="8.1957764758078221E-3"/>
                  <c:y val="7.02262918278352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A52C-475C-B692-70EF6CCBDDA4}"/>
                </c:ext>
              </c:extLst>
            </c:dLbl>
            <c:dLbl>
              <c:idx val="1"/>
              <c:layout>
                <c:manualLayout>
                  <c:x val="-3.5577448553527929E-2"/>
                  <c:y val="-6.0745831302618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A52C-475C-B692-70EF6CCBDDA4}"/>
                </c:ext>
              </c:extLst>
            </c:dLbl>
            <c:dLbl>
              <c:idx val="2"/>
              <c:layout>
                <c:manualLayout>
                  <c:x val="-4.6625949007558891E-2"/>
                  <c:y val="-7.53186311365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A52C-475C-B692-70EF6CCBDDA4}"/>
                </c:ext>
              </c:extLst>
            </c:dLbl>
            <c:dLbl>
              <c:idx val="3"/>
              <c:layout>
                <c:manualLayout>
                  <c:x val="-3.3471348625800472E-2"/>
                  <c:y val="6.940465775111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52C-475C-B692-70EF6CCBDDA4}"/>
                </c:ext>
              </c:extLst>
            </c:dLbl>
            <c:dLbl>
              <c:idx val="4"/>
              <c:layout>
                <c:manualLayout>
                  <c:x val="-3.3488236058754714E-2"/>
                  <c:y val="4.5938030729712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A52C-475C-B692-70EF6CCBDDA4}"/>
                </c:ext>
              </c:extLst>
            </c:dLbl>
            <c:dLbl>
              <c:idx val="5"/>
              <c:layout>
                <c:manualLayout>
                  <c:x val="-2.1583057524822764E-2"/>
                  <c:y val="4.5938030729711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A52C-475C-B692-70EF6CCBDDA4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Ref>
              <c:f>'TCDC SA (Charges)'!$J$49:$O$49</c:f>
              <c:numCache>
                <c:formatCode>0.0%</c:formatCode>
                <c:ptCount val="6"/>
                <c:pt idx="0">
                  <c:v>2.7771757666104513E-2</c:v>
                </c:pt>
                <c:pt idx="1">
                  <c:v>1.5248315422848213E-2</c:v>
                </c:pt>
                <c:pt idx="2">
                  <c:v>3.1254561459841179E-2</c:v>
                </c:pt>
                <c:pt idx="3">
                  <c:v>2.8794254991307167E-2</c:v>
                </c:pt>
                <c:pt idx="4">
                  <c:v>2.6263254707198813E-2</c:v>
                </c:pt>
                <c:pt idx="5">
                  <c:v>2.533610279899623E-2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A52C-475C-B692-70EF6CCBD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37568"/>
        <c:axId val="445237176"/>
      </c:lineChart>
      <c:catAx>
        <c:axId val="445231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236392"/>
        <c:crosses val="autoZero"/>
        <c:auto val="1"/>
        <c:lblAlgn val="ctr"/>
        <c:lblOffset val="100"/>
        <c:noMultiLvlLbl val="0"/>
      </c:catAx>
      <c:valAx>
        <c:axId val="445236392"/>
        <c:scaling>
          <c:orientation val="minMax"/>
          <c:max val="5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3078756088124779E-2"/>
              <c:y val="0.1694526455721639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231688"/>
        <c:crosses val="autoZero"/>
        <c:crossBetween val="between"/>
        <c:majorUnit val="1"/>
      </c:valAx>
      <c:valAx>
        <c:axId val="445237176"/>
        <c:scaling>
          <c:orientation val="minMax"/>
          <c:max val="6.0000000000000012E-2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5767345524598935"/>
              <c:y val="0.3370919402236545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445237568"/>
        <c:crosses val="max"/>
        <c:crossBetween val="between"/>
        <c:majorUnit val="2.0000000000000004E-2"/>
      </c:valAx>
      <c:catAx>
        <c:axId val="44523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23717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0"/>
          <c:y val="0.8663310644977904"/>
          <c:w val="0.98947413573802112"/>
          <c:h val="0.13140284798114857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Maladie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15-4427-AFB6-2691B982E2F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15-4427-AFB6-2691B982E2F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9C15-4427-AFB6-2691B982E2F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9C15-4427-AFB6-2691B982E2F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9C15-4427-AFB6-2691B982E2F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9C15-4427-AFB6-2691B982E2F9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9C15-4427-AFB6-2691B982E2F9}"/>
              </c:ext>
            </c:extLst>
          </c:dPt>
          <c:cat>
            <c:strRef>
              <c:f>CHARGES_PRODUITS!$D$2:$I$2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CHARGES_PRODUITS!$C$43:$H$43</c:f>
              <c:numCache>
                <c:formatCode>#\ ##0.0</c:formatCode>
                <c:ptCount val="6"/>
                <c:pt idx="0">
                  <c:v>1.4615435073561966</c:v>
                </c:pt>
                <c:pt idx="1">
                  <c:v>-0.6189015916801438</c:v>
                </c:pt>
                <c:pt idx="2">
                  <c:v>1.0712154023036573</c:v>
                </c:pt>
                <c:pt idx="3">
                  <c:v>0.73415694860118952</c:v>
                </c:pt>
                <c:pt idx="4">
                  <c:v>0.90783774266752859</c:v>
                </c:pt>
                <c:pt idx="5">
                  <c:v>0.81765681686332903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15-4427-AFB6-2691B982E2F9}"/>
            </c:ext>
          </c:extLst>
        </c:ser>
        <c:ser>
          <c:idx val="1"/>
          <c:order val="1"/>
          <c:tx>
            <c:v>ATMP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9C15-4427-AFB6-2691B982E2F9}"/>
              </c:ext>
            </c:extLst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9C15-4427-AFB6-2691B982E2F9}"/>
              </c:ext>
            </c:extLst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9C15-4427-AFB6-2691B982E2F9}"/>
              </c:ext>
            </c:extLst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9C15-4427-AFB6-2691B982E2F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9C15-4427-AFB6-2691B982E2F9}"/>
              </c:ext>
            </c:extLst>
          </c:dPt>
          <c:cat>
            <c:strRef>
              <c:f>CHARGES_PRODUITS!$D$2:$I$2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CHARGES_PRODUITS!$C$44:$H$44</c:f>
              <c:numCache>
                <c:formatCode>#\ ##0.0</c:formatCode>
                <c:ptCount val="6"/>
                <c:pt idx="0">
                  <c:v>9.8797849851462782E-2</c:v>
                </c:pt>
                <c:pt idx="1">
                  <c:v>0.13025790939264376</c:v>
                </c:pt>
                <c:pt idx="2">
                  <c:v>0.14504045093326773</c:v>
                </c:pt>
                <c:pt idx="3">
                  <c:v>0.14826028301139652</c:v>
                </c:pt>
                <c:pt idx="4">
                  <c:v>0.15365072770562657</c:v>
                </c:pt>
                <c:pt idx="5">
                  <c:v>0.16338308390588061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C15-4427-AFB6-2691B982E2F9}"/>
            </c:ext>
          </c:extLst>
        </c:ser>
        <c:ser>
          <c:idx val="2"/>
          <c:order val="2"/>
          <c:tx>
            <c:v>Famille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9C15-4427-AFB6-2691B982E2F9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9C15-4427-AFB6-2691B982E2F9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9C15-4427-AFB6-2691B982E2F9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9C15-4427-AFB6-2691B982E2F9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9C15-4427-AFB6-2691B982E2F9}"/>
              </c:ext>
            </c:extLst>
          </c:dPt>
          <c:cat>
            <c:strRef>
              <c:f>CHARGES_PRODUITS!$D$2:$I$2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CHARGES_PRODUITS!$C$45:$H$45</c:f>
              <c:numCache>
                <c:formatCode>#\ ##0.0</c:formatCode>
                <c:ptCount val="6"/>
                <c:pt idx="0">
                  <c:v>0.45397763782919304</c:v>
                </c:pt>
                <c:pt idx="1">
                  <c:v>-1.7237692824953028E-3</c:v>
                </c:pt>
                <c:pt idx="2">
                  <c:v>-0.10046617085266681</c:v>
                </c:pt>
                <c:pt idx="3">
                  <c:v>7.26441772046892E-2</c:v>
                </c:pt>
                <c:pt idx="4">
                  <c:v>6.6296019215170504E-2</c:v>
                </c:pt>
                <c:pt idx="5">
                  <c:v>5.9884593021063443E-2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C15-4427-AFB6-2691B982E2F9}"/>
            </c:ext>
          </c:extLst>
        </c:ser>
        <c:ser>
          <c:idx val="3"/>
          <c:order val="3"/>
          <c:tx>
            <c:v>Retraite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4-9C15-4427-AFB6-2691B982E2F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9C15-4427-AFB6-2691B982E2F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9C15-4427-AFB6-2691B982E2F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9C15-4427-AFB6-2691B982E2F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9C15-4427-AFB6-2691B982E2F9}"/>
              </c:ext>
            </c:extLst>
          </c:dPt>
          <c:cat>
            <c:strRef>
              <c:f>CHARGES_PRODUITS!$D$2:$I$2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CHARGES_PRODUITS!$C$46:$H$46</c:f>
              <c:numCache>
                <c:formatCode>#\ ##0.0</c:formatCode>
                <c:ptCount val="6"/>
                <c:pt idx="0">
                  <c:v>0.57179368108706441</c:v>
                </c:pt>
                <c:pt idx="1">
                  <c:v>1.928573048398637</c:v>
                </c:pt>
                <c:pt idx="2">
                  <c:v>1.7881600525053321</c:v>
                </c:pt>
                <c:pt idx="3">
                  <c:v>1.8461466393479786</c:v>
                </c:pt>
                <c:pt idx="4">
                  <c:v>1.4505526771736337</c:v>
                </c:pt>
                <c:pt idx="5">
                  <c:v>1.4603581171771332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C15-4427-AFB6-2691B982E2F9}"/>
            </c:ext>
          </c:extLst>
        </c:ser>
        <c:ser>
          <c:idx val="4"/>
          <c:order val="5"/>
          <c:tx>
            <c:v>SASPA</c:v>
          </c:tx>
          <c:invertIfNegative val="0"/>
          <c:cat>
            <c:strRef>
              <c:f>CHARGES_PRODUITS!$D$2:$I$2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CHARGES_PRODUITS!$C$47:$H$47</c:f>
              <c:numCache>
                <c:formatCode>#\ ##0.0</c:formatCode>
                <c:ptCount val="6"/>
                <c:pt idx="0">
                  <c:v>0.11565501486329145</c:v>
                </c:pt>
                <c:pt idx="1">
                  <c:v>8.6630739497449261E-2</c:v>
                </c:pt>
                <c:pt idx="2">
                  <c:v>0.22151030512798847</c:v>
                </c:pt>
                <c:pt idx="3">
                  <c:v>7.8223350375897713E-2</c:v>
                </c:pt>
                <c:pt idx="4">
                  <c:v>4.79900765773459E-2</c:v>
                </c:pt>
                <c:pt idx="5">
                  <c:v>3.2328446667923373E-2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9C15-4427-AFB6-2691B982E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33648"/>
        <c:axId val="445234040"/>
      </c:barChart>
      <c:lineChart>
        <c:grouping val="standard"/>
        <c:varyColors val="0"/>
        <c:ser>
          <c:idx val="5"/>
          <c:order val="4"/>
          <c:tx>
            <c:v>Evolution des dépenses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0-9C15-4427-AFB6-2691B982E2F9}"/>
              </c:ext>
            </c:extLst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2-9C15-4427-AFB6-2691B982E2F9}"/>
              </c:ext>
            </c:extLst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4-9C15-4427-AFB6-2691B982E2F9}"/>
              </c:ext>
            </c:extLst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6-9C15-4427-AFB6-2691B982E2F9}"/>
              </c:ext>
            </c:extLst>
          </c:dPt>
          <c:dLbls>
            <c:dLbl>
              <c:idx val="0"/>
              <c:layout>
                <c:manualLayout>
                  <c:x val="1.1856432921037106E-2"/>
                  <c:y val="-1.8047049822543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9C15-4427-AFB6-2691B982E2F9}"/>
                </c:ext>
              </c:extLst>
            </c:dLbl>
            <c:dLbl>
              <c:idx val="1"/>
              <c:layout>
                <c:manualLayout>
                  <c:x val="-2.8466500514953655E-2"/>
                  <c:y val="-5.2625441204067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9C15-4427-AFB6-2691B982E2F9}"/>
                </c:ext>
              </c:extLst>
            </c:dLbl>
            <c:dLbl>
              <c:idx val="2"/>
              <c:layout>
                <c:manualLayout>
                  <c:x val="-2.7424250567448929E-2"/>
                  <c:y val="5.8234379042111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C15-4427-AFB6-2691B982E2F9}"/>
                </c:ext>
              </c:extLst>
            </c:dLbl>
            <c:dLbl>
              <c:idx val="3"/>
              <c:layout>
                <c:manualLayout>
                  <c:x val="-4.5376541111300059E-2"/>
                  <c:y val="-4.7186556906169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C15-4427-AFB6-2691B982E2F9}"/>
                </c:ext>
              </c:extLst>
            </c:dLbl>
            <c:dLbl>
              <c:idx val="4"/>
              <c:layout>
                <c:manualLayout>
                  <c:x val="-3.3488236058754714E-2"/>
                  <c:y val="-6.184636652793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9C15-4427-AFB6-2691B982E2F9}"/>
                </c:ext>
              </c:extLst>
            </c:dLbl>
            <c:dLbl>
              <c:idx val="5"/>
              <c:layout>
                <c:manualLayout>
                  <c:x val="-3.7456628903398695E-2"/>
                  <c:y val="-5.39107442089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9C15-4427-AFB6-2691B982E2F9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CHARGES_PRODUITS!$D$2:$I$2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CHARGES_PRODUITS!$C$25:$H$25</c:f>
              <c:numCache>
                <c:formatCode>0.0%</c:formatCode>
                <c:ptCount val="6"/>
                <c:pt idx="0">
                  <c:v>2.7767901089986724E-2</c:v>
                </c:pt>
                <c:pt idx="1">
                  <c:v>1.5248363363260964E-2</c:v>
                </c:pt>
                <c:pt idx="2">
                  <c:v>3.1254600400175692E-2</c:v>
                </c:pt>
                <c:pt idx="3">
                  <c:v>2.8794313985411657E-2</c:v>
                </c:pt>
                <c:pt idx="4">
                  <c:v>2.6263272433393103E-2</c:v>
                </c:pt>
                <c:pt idx="5">
                  <c:v>2.533611057635321E-2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9C15-4427-AFB6-2691B982E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38256"/>
        <c:axId val="445433944"/>
      </c:lineChart>
      <c:catAx>
        <c:axId val="44523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234040"/>
        <c:crosses val="autoZero"/>
        <c:auto val="1"/>
        <c:lblAlgn val="ctr"/>
        <c:lblOffset val="100"/>
        <c:noMultiLvlLbl val="0"/>
      </c:catAx>
      <c:valAx>
        <c:axId val="445234040"/>
        <c:scaling>
          <c:orientation val="minMax"/>
          <c:max val="3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1.3236933675969162E-2"/>
              <c:y val="0.2409783983917821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233648"/>
        <c:crosses val="autoZero"/>
        <c:crossBetween val="between"/>
        <c:majorUnit val="1"/>
      </c:valAx>
      <c:valAx>
        <c:axId val="445433944"/>
        <c:scaling>
          <c:orientation val="minMax"/>
          <c:max val="3.5000000000000003E-2"/>
          <c:min val="1.0000000000000002E-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6105209906108446"/>
              <c:y val="0.42152049741187658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445438256"/>
        <c:crosses val="max"/>
        <c:crossBetween val="between"/>
        <c:majorUnit val="5.000000000000001E-3"/>
      </c:valAx>
      <c:catAx>
        <c:axId val="44543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43394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5"/>
        <c:txPr>
          <a:bodyPr/>
          <a:lstStyle/>
          <a:p>
            <a:pPr>
              <a:defRPr sz="1000">
                <a:solidFill>
                  <a:srgbClr val="C00000"/>
                </a:solidFill>
              </a:defRPr>
            </a:pPr>
            <a:endParaRPr lang="fr-FR"/>
          </a:p>
        </c:txPr>
      </c:legendEntry>
      <c:overlay val="0"/>
      <c:txPr>
        <a:bodyPr/>
        <a:lstStyle/>
        <a:p>
          <a:pPr>
            <a:defRPr sz="10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Maladie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8F3-46D7-BF34-FCCF3F5BA22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8F3-46D7-BF34-FCCF3F5BA224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08F3-46D7-BF34-FCCF3F5BA22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08F3-46D7-BF34-FCCF3F5BA22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08F3-46D7-BF34-FCCF3F5BA22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08F3-46D7-BF34-FCCF3F5BA22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08F3-46D7-BF34-FCCF3F5BA224}"/>
              </c:ext>
            </c:extLst>
          </c:dPt>
          <c:cat>
            <c:strRef>
              <c:f>CHARGES_PRODUITS!$C$42:$H$42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CHARGES_PRODUITS!$C$49:$H$49</c:f>
              <c:numCache>
                <c:formatCode>#\ ##0.0</c:formatCode>
                <c:ptCount val="6"/>
                <c:pt idx="0">
                  <c:v>1.455931292021313</c:v>
                </c:pt>
                <c:pt idx="1">
                  <c:v>-0.61652505688242565</c:v>
                </c:pt>
                <c:pt idx="2">
                  <c:v>1.0671665213047816</c:v>
                </c:pt>
                <c:pt idx="3">
                  <c:v>0.73156880305754557</c:v>
                </c:pt>
                <c:pt idx="4">
                  <c:v>0.90503548629377017</c:v>
                </c:pt>
                <c:pt idx="5">
                  <c:v>0.81561744144953252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8F3-46D7-BF34-FCCF3F5BA224}"/>
            </c:ext>
          </c:extLst>
        </c:ser>
        <c:ser>
          <c:idx val="1"/>
          <c:order val="1"/>
          <c:tx>
            <c:v>ATMP</c:v>
          </c:tx>
          <c:spPr>
            <a:pattFill prst="pct8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08F3-46D7-BF34-FCCF3F5BA224}"/>
              </c:ext>
            </c:extLst>
          </c:dPt>
          <c:dPt>
            <c:idx val="3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08F3-46D7-BF34-FCCF3F5BA224}"/>
              </c:ext>
            </c:extLst>
          </c:dPt>
          <c:dPt>
            <c:idx val="4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08F3-46D7-BF34-FCCF3F5BA224}"/>
              </c:ext>
            </c:extLst>
          </c:dPt>
          <c:dPt>
            <c:idx val="5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08F3-46D7-BF34-FCCF3F5BA22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08F3-46D7-BF34-FCCF3F5BA224}"/>
              </c:ext>
            </c:extLst>
          </c:dPt>
          <c:cat>
            <c:strRef>
              <c:f>CHARGES_PRODUITS!$C$42:$H$42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CHARGES_PRODUITS!$C$50:$H$50</c:f>
              <c:numCache>
                <c:formatCode>#\ ##0.0</c:formatCode>
                <c:ptCount val="6"/>
                <c:pt idx="0">
                  <c:v>0.28263807582374856</c:v>
                </c:pt>
                <c:pt idx="1">
                  <c:v>0.12947637491429628</c:v>
                </c:pt>
                <c:pt idx="2">
                  <c:v>0.1299799558132913</c:v>
                </c:pt>
                <c:pt idx="3">
                  <c:v>0.1126266512418007</c:v>
                </c:pt>
                <c:pt idx="4">
                  <c:v>0.10031823428388059</c:v>
                </c:pt>
                <c:pt idx="5">
                  <c:v>0.10049629943381097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8F3-46D7-BF34-FCCF3F5BA224}"/>
            </c:ext>
          </c:extLst>
        </c:ser>
        <c:ser>
          <c:idx val="2"/>
          <c:order val="2"/>
          <c:tx>
            <c:v>Famille</c:v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08F3-46D7-BF34-FCCF3F5BA224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08F3-46D7-BF34-FCCF3F5BA224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08F3-46D7-BF34-FCCF3F5BA224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08F3-46D7-BF34-FCCF3F5BA224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08F3-46D7-BF34-FCCF3F5BA224}"/>
              </c:ext>
            </c:extLst>
          </c:dPt>
          <c:cat>
            <c:strRef>
              <c:f>CHARGES_PRODUITS!$C$42:$H$42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CHARGES_PRODUITS!$C$51:$H$51</c:f>
              <c:numCache>
                <c:formatCode>#\ ##0.0</c:formatCode>
                <c:ptCount val="6"/>
                <c:pt idx="0">
                  <c:v>0.45223439840600954</c:v>
                </c:pt>
                <c:pt idx="1">
                  <c:v>-1.7171501402285555E-3</c:v>
                </c:pt>
                <c:pt idx="2">
                  <c:v>-0.10008643810300809</c:v>
                </c:pt>
                <c:pt idx="3">
                  <c:v>7.2388082504689644E-2</c:v>
                </c:pt>
                <c:pt idx="4">
                  <c:v>6.6091380837993749E-2</c:v>
                </c:pt>
                <c:pt idx="5">
                  <c:v>5.973523064291944E-2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8F3-46D7-BF34-FCCF3F5BA224}"/>
            </c:ext>
          </c:extLst>
        </c:ser>
        <c:ser>
          <c:idx val="3"/>
          <c:order val="3"/>
          <c:tx>
            <c:v>Retraite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4-08F3-46D7-BF34-FCCF3F5BA22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08F3-46D7-BF34-FCCF3F5BA22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08F3-46D7-BF34-FCCF3F5BA22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08F3-46D7-BF34-FCCF3F5BA22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08F3-46D7-BF34-FCCF3F5BA224}"/>
              </c:ext>
            </c:extLst>
          </c:dPt>
          <c:cat>
            <c:strRef>
              <c:f>CHARGES_PRODUITS!$C$42:$H$42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CHARGES_PRODUITS!$C$52:$H$52</c:f>
              <c:numCache>
                <c:formatCode>#\ ##0.0</c:formatCode>
                <c:ptCount val="6"/>
                <c:pt idx="0">
                  <c:v>0.56959803706468615</c:v>
                </c:pt>
                <c:pt idx="1">
                  <c:v>1.9211674753300361</c:v>
                </c:pt>
                <c:pt idx="2">
                  <c:v>1.781401330362286</c:v>
                </c:pt>
                <c:pt idx="3">
                  <c:v>1.8396383631453752</c:v>
                </c:pt>
                <c:pt idx="4">
                  <c:v>1.4460752025170522</c:v>
                </c:pt>
                <c:pt idx="5">
                  <c:v>1.4567157352167723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08F3-46D7-BF34-FCCF3F5BA224}"/>
            </c:ext>
          </c:extLst>
        </c:ser>
        <c:ser>
          <c:idx val="4"/>
          <c:order val="5"/>
          <c:tx>
            <c:v>SASPA</c:v>
          </c:tx>
          <c:invertIfNegative val="0"/>
          <c:cat>
            <c:strRef>
              <c:f>CHARGES_PRODUITS!$C$42:$H$42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CHARGES_PRODUITS!$C$53:$H$53</c:f>
              <c:numCache>
                <c:formatCode>#\ ##0.0</c:formatCode>
                <c:ptCount val="6"/>
                <c:pt idx="0">
                  <c:v>0.11521090844791376</c:v>
                </c:pt>
                <c:pt idx="1">
                  <c:v>8.6298084080601106E-2</c:v>
                </c:pt>
                <c:pt idx="2">
                  <c:v>0.2206730609438988</c:v>
                </c:pt>
                <c:pt idx="3">
                  <c:v>7.7947587249129424E-2</c:v>
                </c:pt>
                <c:pt idx="4">
                  <c:v>4.7841943831101102E-2</c:v>
                </c:pt>
                <c:pt idx="5">
                  <c:v>3.2247814013807073E-2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08F3-46D7-BF34-FCCF3F5BA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439040"/>
        <c:axId val="445435904"/>
      </c:barChart>
      <c:lineChart>
        <c:grouping val="standard"/>
        <c:varyColors val="0"/>
        <c:ser>
          <c:idx val="5"/>
          <c:order val="4"/>
          <c:tx>
            <c:v>Evolution des recettes totales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0-08F3-46D7-BF34-FCCF3F5BA224}"/>
              </c:ext>
            </c:extLst>
          </c:dPt>
          <c:dPt>
            <c:idx val="3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2-08F3-46D7-BF34-FCCF3F5BA224}"/>
              </c:ext>
            </c:extLst>
          </c:dPt>
          <c:dPt>
            <c:idx val="4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4-08F3-46D7-BF34-FCCF3F5BA224}"/>
              </c:ext>
            </c:extLst>
          </c:dPt>
          <c:dPt>
            <c:idx val="5"/>
            <c:bubble3D val="0"/>
            <c:spPr>
              <a:ln>
                <a:solidFill>
                  <a:srgbClr val="C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36-08F3-46D7-BF34-FCCF3F5BA224}"/>
              </c:ext>
            </c:extLst>
          </c:dPt>
          <c:dLbls>
            <c:dLbl>
              <c:idx val="0"/>
              <c:layout>
                <c:manualLayout>
                  <c:x val="-2.7827495525402732E-2"/>
                  <c:y val="4.3139730171087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8F3-46D7-BF34-FCCF3F5BA224}"/>
                </c:ext>
              </c:extLst>
            </c:dLbl>
            <c:dLbl>
              <c:idx val="1"/>
              <c:layout>
                <c:manualLayout>
                  <c:x val="-3.6403286204241651E-2"/>
                  <c:y val="-5.579484942089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8F3-46D7-BF34-FCCF3F5BA224}"/>
                </c:ext>
              </c:extLst>
            </c:dLbl>
            <c:dLbl>
              <c:idx val="2"/>
              <c:layout>
                <c:manualLayout>
                  <c:x val="-3.9329429101380875E-2"/>
                  <c:y val="-6.1090571513379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8F3-46D7-BF34-FCCF3F5BA224}"/>
                </c:ext>
              </c:extLst>
            </c:dLbl>
            <c:dLbl>
              <c:idx val="3"/>
              <c:layout>
                <c:manualLayout>
                  <c:x val="-3.7439755422012021E-2"/>
                  <c:y val="5.99688622852366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8F3-46D7-BF34-FCCF3F5BA224}"/>
                </c:ext>
              </c:extLst>
            </c:dLbl>
            <c:dLbl>
              <c:idx val="4"/>
              <c:layout>
                <c:manualLayout>
                  <c:x val="-3.3488236058754714E-2"/>
                  <c:y val="-5.9112364873183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8F3-46D7-BF34-FCCF3F5BA224}"/>
                </c:ext>
              </c:extLst>
            </c:dLbl>
            <c:dLbl>
              <c:idx val="5"/>
              <c:layout>
                <c:manualLayout>
                  <c:x val="-3.9440825325720685E-2"/>
                  <c:y val="-5.507196211820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8F3-46D7-BF34-FCCF3F5BA224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CHARGES_PRODUITS!$C$42:$H$42</c:f>
              <c:strCache>
                <c:ptCount val="6"/>
                <c:pt idx="0">
                  <c:v>2022</c:v>
                </c:pt>
                <c:pt idx="1">
                  <c:v>2023(p)</c:v>
                </c:pt>
                <c:pt idx="2">
                  <c:v>2024(p)</c:v>
                </c:pt>
                <c:pt idx="3">
                  <c:v>2025(p)</c:v>
                </c:pt>
                <c:pt idx="4">
                  <c:v>2026(p)</c:v>
                </c:pt>
                <c:pt idx="5">
                  <c:v>2027(p)</c:v>
                </c:pt>
              </c:strCache>
            </c:strRef>
          </c:cat>
          <c:val>
            <c:numRef>
              <c:f>CHARGES_PRODUITS!$C$31:$H$31</c:f>
              <c:numCache>
                <c:formatCode>0.0%</c:formatCode>
                <c:ptCount val="6"/>
                <c:pt idx="0">
                  <c:v>2.9607524866331669E-2</c:v>
                </c:pt>
                <c:pt idx="1">
                  <c:v>1.5186997273022751E-2</c:v>
                </c:pt>
                <c:pt idx="2">
                  <c:v>3.0991344303212598E-2</c:v>
                </c:pt>
                <c:pt idx="3">
                  <c:v>2.8341694871985457E-2</c:v>
                </c:pt>
                <c:pt idx="4">
                  <c:v>2.5653622477638027E-2</c:v>
                </c:pt>
                <c:pt idx="5">
                  <c:v>2.4648125207568539E-2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08F3-46D7-BF34-FCCF3F5BA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36688"/>
        <c:axId val="445433160"/>
      </c:lineChart>
      <c:catAx>
        <c:axId val="4454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435904"/>
        <c:crosses val="autoZero"/>
        <c:auto val="1"/>
        <c:lblAlgn val="ctr"/>
        <c:lblOffset val="100"/>
        <c:noMultiLvlLbl val="0"/>
      </c:catAx>
      <c:valAx>
        <c:axId val="445435904"/>
        <c:scaling>
          <c:orientation val="minMax"/>
          <c:max val="2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75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2.3157915787579118E-2"/>
              <c:y val="0.1901946688686661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45439040"/>
        <c:crosses val="autoZero"/>
        <c:crossBetween val="between"/>
        <c:majorUnit val="1"/>
      </c:valAx>
      <c:valAx>
        <c:axId val="445433160"/>
        <c:scaling>
          <c:orientation val="minMax"/>
          <c:max val="4.0000000000000008E-2"/>
          <c:min val="1.0000000000000002E-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r>
                  <a:rPr lang="fr-FR" sz="800">
                    <a:solidFill>
                      <a:srgbClr val="C00000"/>
                    </a:solidFill>
                  </a:rPr>
                  <a:t>Evolution en %</a:t>
                </a:r>
              </a:p>
            </c:rich>
          </c:tx>
          <c:layout>
            <c:manualLayout>
              <c:xMode val="edge"/>
              <c:yMode val="edge"/>
              <c:x val="0.94319433126018659"/>
              <c:y val="0.3860573699664073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C00000"/>
                </a:solidFill>
              </a:defRPr>
            </a:pPr>
            <a:endParaRPr lang="fr-FR"/>
          </a:p>
        </c:txPr>
        <c:crossAx val="445436688"/>
        <c:crosses val="max"/>
        <c:crossBetween val="between"/>
        <c:majorUnit val="1.0000000000000002E-2"/>
      </c:valAx>
      <c:catAx>
        <c:axId val="44543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43316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5"/>
        <c:txPr>
          <a:bodyPr/>
          <a:lstStyle/>
          <a:p>
            <a:pPr>
              <a:defRPr sz="1000">
                <a:solidFill>
                  <a:srgbClr val="C00000"/>
                </a:solidFill>
              </a:defRPr>
            </a:pPr>
            <a:endParaRPr lang="fr-FR"/>
          </a:p>
        </c:txPr>
      </c:legendEntry>
      <c:overlay val="0"/>
      <c:txPr>
        <a:bodyPr/>
        <a:lstStyle/>
        <a:p>
          <a:pPr>
            <a:defRPr sz="1000"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134744</xdr:colOff>
      <xdr:row>26</xdr:row>
      <xdr:rowOff>54674</xdr:rowOff>
    </xdr:from>
    <xdr:to>
      <xdr:col>17</xdr:col>
      <xdr:colOff>751417</xdr:colOff>
      <xdr:row>46</xdr:row>
      <xdr:rowOff>31750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304871</xdr:colOff>
      <xdr:row>49</xdr:row>
      <xdr:rowOff>52797</xdr:rowOff>
    </xdr:from>
    <xdr:to>
      <xdr:col>17</xdr:col>
      <xdr:colOff>587856</xdr:colOff>
      <xdr:row>69</xdr:row>
      <xdr:rowOff>85628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254001</xdr:colOff>
      <xdr:row>3</xdr:row>
      <xdr:rowOff>52917</xdr:rowOff>
    </xdr:from>
    <xdr:to>
      <xdr:col>17</xdr:col>
      <xdr:colOff>740834</xdr:colOff>
      <xdr:row>23</xdr:row>
      <xdr:rowOff>10583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761999</xdr:colOff>
      <xdr:row>0</xdr:row>
      <xdr:rowOff>485774</xdr:rowOff>
    </xdr:from>
    <xdr:to>
      <xdr:col>17</xdr:col>
      <xdr:colOff>733425</xdr:colOff>
      <xdr:row>20</xdr:row>
      <xdr:rowOff>19049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25</xdr:row>
      <xdr:rowOff>66676</xdr:rowOff>
    </xdr:from>
    <xdr:to>
      <xdr:col>18</xdr:col>
      <xdr:colOff>9525</xdr:colOff>
      <xdr:row>45</xdr:row>
      <xdr:rowOff>47626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-1</xdr:rowOff>
    </xdr:from>
    <xdr:to>
      <xdr:col>6</xdr:col>
      <xdr:colOff>309339</xdr:colOff>
      <xdr:row>57</xdr:row>
      <xdr:rowOff>104776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3463</xdr:colOff>
      <xdr:row>52</xdr:row>
      <xdr:rowOff>1</xdr:rowOff>
    </xdr:from>
    <xdr:to>
      <xdr:col>21</xdr:col>
      <xdr:colOff>372341</xdr:colOff>
      <xdr:row>70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18</xdr:col>
      <xdr:colOff>304576</xdr:colOff>
      <xdr:row>22</xdr:row>
      <xdr:rowOff>95251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27</xdr:row>
      <xdr:rowOff>123825</xdr:rowOff>
    </xdr:from>
    <xdr:to>
      <xdr:col>18</xdr:col>
      <xdr:colOff>323626</xdr:colOff>
      <xdr:row>46</xdr:row>
      <xdr:rowOff>38101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42333</xdr:colOff>
      <xdr:row>47</xdr:row>
      <xdr:rowOff>127001</xdr:rowOff>
    </xdr:from>
    <xdr:to>
      <xdr:col>16</xdr:col>
      <xdr:colOff>710179</xdr:colOff>
      <xdr:row>64</xdr:row>
      <xdr:rowOff>146051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62</xdr:row>
      <xdr:rowOff>126999</xdr:rowOff>
    </xdr:from>
    <xdr:to>
      <xdr:col>7</xdr:col>
      <xdr:colOff>223084</xdr:colOff>
      <xdr:row>80</xdr:row>
      <xdr:rowOff>51859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21166</xdr:colOff>
      <xdr:row>4</xdr:row>
      <xdr:rowOff>137584</xdr:rowOff>
    </xdr:from>
    <xdr:to>
      <xdr:col>16</xdr:col>
      <xdr:colOff>539750</xdr:colOff>
      <xdr:row>21</xdr:row>
      <xdr:rowOff>3176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2_PREVISIONS/Exercice%202023_2023-2027/3%20-%20EFFECTIFS/2%20-%20JUILLET%202023/TCDC_PREVISIONS_EFFECTIFS_2023-2027_SA_juillet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2_PREVISIONS/Exercice%202022_2022-2026/2%20-%20MAQUETTES%20DONNEES/2%20-%20JUILLET/4_REVISION_DPT/Maquette_Pr&#233;visions2022-2026_FAMILLE_SA_N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2_PREVISIONS/Exercice%202023_2023-2027/2%20-%20MAQUETTES%20DONNEES/2%20-%20JUILLET/4_REVISION_DPT/Maquette_Pr&#233;visions%202023-2027_FAMILLE_SA_N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HANGES\MEFC_SDFT\TCDC\Pr&#233;visions_2023-2027\TCDC_PREVISIONS_2023-2027_SA_CCSS%20SEPTEMBRE%20202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HANGES\MEFC_SDFT\TCDC\Pr&#233;visions_2022-2026\TCDC_PREVISIONS_2022-2026_SA_CCSS%20SEPTEMBRE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"/>
    </sheetNames>
    <sheetDataSet>
      <sheetData sheetId="0">
        <row r="10">
          <cell r="J10">
            <v>1914251</v>
          </cell>
          <cell r="L10">
            <v>1934245</v>
          </cell>
          <cell r="N10">
            <v>1942318</v>
          </cell>
          <cell r="P10">
            <v>1942512</v>
          </cell>
          <cell r="R10">
            <v>1942706</v>
          </cell>
          <cell r="T10">
            <v>1942901</v>
          </cell>
          <cell r="V10">
            <v>1943095</v>
          </cell>
          <cell r="X10">
            <v>1943289</v>
          </cell>
        </row>
        <row r="16">
          <cell r="J16">
            <v>2396379</v>
          </cell>
          <cell r="L16">
            <v>2335989</v>
          </cell>
          <cell r="N16">
            <v>2288162</v>
          </cell>
          <cell r="P16">
            <v>2242288</v>
          </cell>
          <cell r="R16">
            <v>2197802</v>
          </cell>
          <cell r="T16">
            <v>2153949</v>
          </cell>
          <cell r="V16">
            <v>2114122</v>
          </cell>
          <cell r="X16">
            <v>2080504</v>
          </cell>
        </row>
        <row r="20">
          <cell r="J20">
            <v>29784</v>
          </cell>
          <cell r="L20">
            <v>29893</v>
          </cell>
          <cell r="N20">
            <v>29805</v>
          </cell>
          <cell r="P20">
            <v>29743.771887204388</v>
          </cell>
          <cell r="R20">
            <v>29801.511067765114</v>
          </cell>
          <cell r="T20">
            <v>29939.067540565418</v>
          </cell>
          <cell r="V20">
            <v>30148.693417276369</v>
          </cell>
          <cell r="X20">
            <v>30423.638570596326</v>
          </cell>
        </row>
        <row r="22">
          <cell r="J22">
            <v>685102.42205866345</v>
          </cell>
          <cell r="L22">
            <v>714686</v>
          </cell>
          <cell r="N22">
            <v>737934</v>
          </cell>
          <cell r="P22">
            <v>754895</v>
          </cell>
          <cell r="R22">
            <v>767478</v>
          </cell>
          <cell r="T22">
            <v>774863</v>
          </cell>
          <cell r="V22">
            <v>782415</v>
          </cell>
          <cell r="X22">
            <v>790138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graphiques"/>
      <sheetName val="COMMENTAIRES"/>
      <sheetName val="Famille SA - 1"/>
      <sheetName val="Famille SA - 2"/>
      <sheetName val="Famille SA - 3 "/>
      <sheetName val="Famille SA - 4"/>
      <sheetName val="Chiffrages des mesures 2022"/>
    </sheetNames>
    <sheetDataSet>
      <sheetData sheetId="0"/>
      <sheetData sheetId="1"/>
      <sheetData sheetId="2">
        <row r="15">
          <cell r="B15">
            <v>154451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IRES"/>
      <sheetName val="Famille SA - 1"/>
      <sheetName val="Famille SA - 2"/>
      <sheetName val="Famille SA - 3 "/>
      <sheetName val="Famille SA - 4"/>
      <sheetName val="Chiffrages des mesures 2023"/>
    </sheetNames>
    <sheetDataSet>
      <sheetData sheetId="0"/>
      <sheetData sheetId="1">
        <row r="15">
          <cell r="B15">
            <v>153728</v>
          </cell>
          <cell r="C15">
            <v>151837</v>
          </cell>
          <cell r="D15">
            <v>150390</v>
          </cell>
          <cell r="E15">
            <v>149061</v>
          </cell>
          <cell r="F15">
            <v>147537</v>
          </cell>
          <cell r="G15">
            <v>146128</v>
          </cell>
          <cell r="H15">
            <v>144734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die"/>
      <sheetName val="Maladie BS"/>
      <sheetName val="AT"/>
      <sheetName val="Famille"/>
      <sheetName val="PEC"/>
      <sheetName val="Vieillesse"/>
      <sheetName val="SASPA"/>
      <sheetName val="Feuil1"/>
      <sheetName val="Prev Cot Exo 2022"/>
      <sheetName val="Prev Cot Exo (2)"/>
      <sheetName val="Prev Cot Exo"/>
      <sheetName val="Solde Cot Exo"/>
      <sheetName val="Hypotheses"/>
      <sheetName val="allégts généraux 2022"/>
      <sheetName val="allégts généraux 2021"/>
      <sheetName val="allégts généraux 2020"/>
      <sheetName val="allégts généraux 2019"/>
      <sheetName val="PàR2021"/>
      <sheetName val="PàR2020"/>
      <sheetName val="PàR2019"/>
      <sheetName val="PàR2018"/>
      <sheetName val="allégts généraux 2018"/>
      <sheetName val="allégts généraux 2017"/>
      <sheetName val="recettes"/>
      <sheetName val="compens"/>
      <sheetName val="Contribution RG"/>
      <sheetName val="Synthese"/>
      <sheetName val="Soldes Tech Gest"/>
      <sheetName val="Resultat NSA+SA"/>
      <sheetName val="Commentaire"/>
      <sheetName val="CPSS"/>
    </sheetNames>
    <sheetDataSet>
      <sheetData sheetId="0">
        <row r="6">
          <cell r="H6">
            <v>5880.6084375599994</v>
          </cell>
          <cell r="I6">
            <v>6106.6009445300006</v>
          </cell>
          <cell r="R6">
            <v>6010.9027175750416</v>
          </cell>
          <cell r="W6">
            <v>6179.0660861673323</v>
          </cell>
          <cell r="AB6">
            <v>6297.9188820518339</v>
          </cell>
          <cell r="AG6">
            <v>6449.1207924532446</v>
          </cell>
          <cell r="AL6">
            <v>6588.8795054888024</v>
          </cell>
        </row>
        <row r="10">
          <cell r="G10">
            <v>5090.9179437599996</v>
          </cell>
          <cell r="H10">
            <v>4816.3181431499997</v>
          </cell>
          <cell r="I10">
            <v>5028.3106068300012</v>
          </cell>
          <cell r="R10">
            <v>5006.9183053414354</v>
          </cell>
          <cell r="W10">
            <v>5160.1935131845348</v>
          </cell>
          <cell r="AB10">
            <v>5265.8427525041006</v>
          </cell>
          <cell r="AG10">
            <v>5400.2291665831508</v>
          </cell>
          <cell r="AL10">
            <v>5521.8060313409705</v>
          </cell>
        </row>
        <row r="69">
          <cell r="G69">
            <v>1032.1486344100001</v>
          </cell>
          <cell r="H69">
            <v>311.22717200999995</v>
          </cell>
          <cell r="I69">
            <v>315.41880156000002</v>
          </cell>
          <cell r="R69">
            <v>237.88825955663171</v>
          </cell>
          <cell r="W69">
            <v>243.62458251892238</v>
          </cell>
          <cell r="AB69">
            <v>251.68775736140702</v>
          </cell>
          <cell r="AG69">
            <v>259.39774194786372</v>
          </cell>
          <cell r="AL69">
            <v>267.49226854747968</v>
          </cell>
        </row>
        <row r="89">
          <cell r="G89">
            <v>12.08966317</v>
          </cell>
          <cell r="H89">
            <v>12.33898093</v>
          </cell>
          <cell r="I89">
            <v>11.770554090000001</v>
          </cell>
          <cell r="R89">
            <v>12.436497946797237</v>
          </cell>
          <cell r="W89">
            <v>13.644846411285464</v>
          </cell>
          <cell r="AB89">
            <v>15.048867414666772</v>
          </cell>
          <cell r="AG89">
            <v>17.578362123800417</v>
          </cell>
          <cell r="AL89">
            <v>21.988797106128594</v>
          </cell>
        </row>
        <row r="101">
          <cell r="G101">
            <v>406.35925606999996</v>
          </cell>
          <cell r="H101">
            <v>406.80084109000006</v>
          </cell>
          <cell r="I101">
            <v>409.12918354000004</v>
          </cell>
          <cell r="R101">
            <v>418.16248476623508</v>
          </cell>
          <cell r="W101">
            <v>431.70533845603967</v>
          </cell>
          <cell r="AB101">
            <v>440.88245385859301</v>
          </cell>
          <cell r="AG101">
            <v>452.74278901593851</v>
          </cell>
          <cell r="AL101">
            <v>463.58825659909473</v>
          </cell>
        </row>
        <row r="130">
          <cell r="G130">
            <v>0.33524759000000004</v>
          </cell>
          <cell r="H130">
            <v>0.39359049000000002</v>
          </cell>
          <cell r="I130">
            <v>0.44203855999999997</v>
          </cell>
          <cell r="R130">
            <v>0.46587389110329513</v>
          </cell>
          <cell r="W130">
            <v>0.49276899529816809</v>
          </cell>
          <cell r="AB130">
            <v>0.52311902545030908</v>
          </cell>
          <cell r="AG130">
            <v>0.55737054860759516</v>
          </cell>
          <cell r="AL130">
            <v>0.55737054860759516</v>
          </cell>
        </row>
        <row r="136">
          <cell r="G136">
            <v>317.35087403</v>
          </cell>
          <cell r="H136">
            <v>332.37607204</v>
          </cell>
          <cell r="I136">
            <v>341.52975994999997</v>
          </cell>
          <cell r="R136">
            <v>335.03129607283887</v>
          </cell>
          <cell r="W136">
            <v>329.40503660125165</v>
          </cell>
          <cell r="AB136">
            <v>323.93393188761667</v>
          </cell>
          <cell r="AG136">
            <v>318.61536223388327</v>
          </cell>
          <cell r="AL136">
            <v>313.44678134652116</v>
          </cell>
        </row>
        <row r="143">
          <cell r="G143">
            <v>1.7763031099999997</v>
          </cell>
          <cell r="H143">
            <v>1.15363785</v>
          </cell>
          <cell r="I143">
            <v>0</v>
          </cell>
          <cell r="R143">
            <v>0</v>
          </cell>
          <cell r="W143">
            <v>0</v>
          </cell>
          <cell r="AB143">
            <v>0</v>
          </cell>
          <cell r="AG143">
            <v>0</v>
          </cell>
          <cell r="AL143">
            <v>0</v>
          </cell>
        </row>
        <row r="151">
          <cell r="H151">
            <v>5880.6084375599994</v>
          </cell>
          <cell r="I151">
            <v>6106.6009445300006</v>
          </cell>
          <cell r="R151">
            <v>6010.9027175750416</v>
          </cell>
          <cell r="W151">
            <v>6179.0660861673314</v>
          </cell>
          <cell r="AB151">
            <v>6297.9188820518339</v>
          </cell>
          <cell r="AG151">
            <v>6449.1207924532446</v>
          </cell>
          <cell r="AL151">
            <v>6588.8795054888024</v>
          </cell>
        </row>
        <row r="156">
          <cell r="H156">
            <v>1590.28099806</v>
          </cell>
          <cell r="I156">
            <v>1627.74614486</v>
          </cell>
          <cell r="R156">
            <v>1693.3704889707972</v>
          </cell>
          <cell r="W156">
            <v>1739.2558817937982</v>
          </cell>
          <cell r="AB156">
            <v>1761.5437016418487</v>
          </cell>
          <cell r="AG156">
            <v>1785.9716895294048</v>
          </cell>
          <cell r="AL156">
            <v>1810.3819413065303</v>
          </cell>
        </row>
        <row r="173">
          <cell r="H173">
            <v>140.74787162000001</v>
          </cell>
          <cell r="I173">
            <v>158.14943690000001</v>
          </cell>
          <cell r="R173">
            <v>171.29967999944495</v>
          </cell>
          <cell r="W173">
            <v>179.03137968005896</v>
          </cell>
          <cell r="AB173">
            <v>185.27191075579373</v>
          </cell>
          <cell r="AG173">
            <v>192.11619856802238</v>
          </cell>
          <cell r="AL173">
            <v>192.11619856802238</v>
          </cell>
        </row>
        <row r="192">
          <cell r="H192">
            <v>984.03851841999995</v>
          </cell>
          <cell r="I192">
            <v>1078.72517984</v>
          </cell>
          <cell r="R192">
            <v>1141.4368920230986</v>
          </cell>
          <cell r="W192">
            <v>1183.5688227739752</v>
          </cell>
          <cell r="AB192">
            <v>1206.4521844430506</v>
          </cell>
          <cell r="AG192">
            <v>1231.8246290956929</v>
          </cell>
          <cell r="AL192">
            <v>1257.7131400052735</v>
          </cell>
        </row>
        <row r="197">
          <cell r="H197">
            <v>0</v>
          </cell>
          <cell r="I197">
            <v>0</v>
          </cell>
          <cell r="R197">
            <v>0</v>
          </cell>
          <cell r="W197">
            <v>0</v>
          </cell>
          <cell r="AB197">
            <v>0</v>
          </cell>
          <cell r="AG197">
            <v>0</v>
          </cell>
          <cell r="AL197">
            <v>0</v>
          </cell>
        </row>
        <row r="255">
          <cell r="H255">
            <v>2684.8293950799998</v>
          </cell>
          <cell r="I255">
            <v>2740.6044712799999</v>
          </cell>
          <cell r="R255">
            <v>2441.7913853158561</v>
          </cell>
          <cell r="W255">
            <v>2482.641347774585</v>
          </cell>
          <cell r="AB255">
            <v>2534.6305973228591</v>
          </cell>
          <cell r="AG255">
            <v>2617.5169890881448</v>
          </cell>
          <cell r="AL255">
            <v>2693.0815901590663</v>
          </cell>
        </row>
        <row r="271">
          <cell r="H271">
            <v>403.49183062999998</v>
          </cell>
          <cell r="I271">
            <v>407.45439783999996</v>
          </cell>
          <cell r="R271">
            <v>395.87342986653937</v>
          </cell>
          <cell r="W271">
            <v>424.80746624207626</v>
          </cell>
          <cell r="AB271">
            <v>438.49726289577478</v>
          </cell>
          <cell r="AG271">
            <v>447.72685877565044</v>
          </cell>
          <cell r="AL271">
            <v>459.64630456458013</v>
          </cell>
        </row>
      </sheetData>
      <sheetData sheetId="1"/>
      <sheetData sheetId="2">
        <row r="6">
          <cell r="H6">
            <v>725.69352690000005</v>
          </cell>
          <cell r="I6">
            <v>740.97023516000002</v>
          </cell>
          <cell r="R6">
            <v>761.11148401653543</v>
          </cell>
          <cell r="W6">
            <v>783.88047217580879</v>
          </cell>
          <cell r="AB6">
            <v>807.88235513572079</v>
          </cell>
          <cell r="AG6">
            <v>833.47314352417618</v>
          </cell>
          <cell r="AL6">
            <v>861.39954133256526</v>
          </cell>
        </row>
        <row r="10">
          <cell r="G10">
            <v>551.07181614000001</v>
          </cell>
          <cell r="H10">
            <v>572.89877344000001</v>
          </cell>
          <cell r="I10">
            <v>593.00804479999999</v>
          </cell>
          <cell r="R10">
            <v>610.62865056862461</v>
          </cell>
          <cell r="W10">
            <v>630.76275275251385</v>
          </cell>
          <cell r="AB10">
            <v>652.45714843704798</v>
          </cell>
          <cell r="AG10">
            <v>675.71493869885376</v>
          </cell>
          <cell r="AL10">
            <v>701.12294742119911</v>
          </cell>
        </row>
        <row r="37">
          <cell r="G37">
            <v>6.8692879799999993</v>
          </cell>
          <cell r="H37">
            <v>7.2619859500000006</v>
          </cell>
          <cell r="I37">
            <v>7.8779610400000006</v>
          </cell>
          <cell r="R37">
            <v>8.5248028019312212</v>
          </cell>
          <cell r="W37">
            <v>9.1716445638624453</v>
          </cell>
          <cell r="AB37">
            <v>9.8184863257936676</v>
          </cell>
          <cell r="AG37">
            <v>10.465328087724892</v>
          </cell>
          <cell r="AL37">
            <v>11.112169849656112</v>
          </cell>
        </row>
        <row r="43">
          <cell r="G43">
            <v>3.1759518799999999</v>
          </cell>
          <cell r="H43">
            <v>4.03883817</v>
          </cell>
          <cell r="I43">
            <v>4.1528955300000003</v>
          </cell>
          <cell r="R43">
            <v>4.3189642181779515</v>
          </cell>
          <cell r="W43">
            <v>4.455921580938579</v>
          </cell>
          <cell r="AB43">
            <v>4.5648910343697446</v>
          </cell>
          <cell r="AG43">
            <v>4.671643606441128</v>
          </cell>
          <cell r="AL43">
            <v>4.7837406166009124</v>
          </cell>
        </row>
        <row r="55">
          <cell r="G55">
            <v>88.542911910000001</v>
          </cell>
          <cell r="H55">
            <v>89.995679300000006</v>
          </cell>
          <cell r="I55">
            <v>84.290724920000002</v>
          </cell>
          <cell r="R55">
            <v>86.922347362665263</v>
          </cell>
          <cell r="W55">
            <v>89.586829724199475</v>
          </cell>
          <cell r="AB55">
            <v>91.929277642114741</v>
          </cell>
          <cell r="AG55">
            <v>94.277213138780183</v>
          </cell>
          <cell r="AL55">
            <v>96.783327733890218</v>
          </cell>
        </row>
        <row r="74">
          <cell r="G74">
            <v>0.54995190999999999</v>
          </cell>
          <cell r="H74">
            <v>1.0485484300000001</v>
          </cell>
          <cell r="I74">
            <v>2.3008533399999997</v>
          </cell>
          <cell r="R74">
            <v>2.3008533399999997</v>
          </cell>
          <cell r="W74">
            <v>2.3008533399999997</v>
          </cell>
          <cell r="AB74">
            <v>2.3008533399999997</v>
          </cell>
          <cell r="AG74">
            <v>2.3008533399999997</v>
          </cell>
          <cell r="AL74">
            <v>2.3008533399999997</v>
          </cell>
        </row>
        <row r="80">
          <cell r="G80">
            <v>51.616929500000005</v>
          </cell>
          <cell r="H80">
            <v>50.29831326</v>
          </cell>
          <cell r="I80">
            <v>49.339755529999998</v>
          </cell>
          <cell r="R80">
            <v>48.415865725136385</v>
          </cell>
          <cell r="W80">
            <v>47.602470214294556</v>
          </cell>
          <cell r="AB80">
            <v>46.811698356394643</v>
          </cell>
          <cell r="AG80">
            <v>46.043166652376236</v>
          </cell>
          <cell r="AL80">
            <v>45.29650237121897</v>
          </cell>
        </row>
        <row r="86">
          <cell r="G86">
            <v>0.20006372</v>
          </cell>
          <cell r="H86">
            <v>0.15138835</v>
          </cell>
          <cell r="I86">
            <v>0</v>
          </cell>
          <cell r="R86">
            <v>0</v>
          </cell>
          <cell r="W86">
            <v>0</v>
          </cell>
          <cell r="AB86">
            <v>0</v>
          </cell>
          <cell r="AG86">
            <v>0</v>
          </cell>
          <cell r="AL86">
            <v>0</v>
          </cell>
        </row>
        <row r="94">
          <cell r="H94">
            <v>756.7026449199999</v>
          </cell>
          <cell r="I94">
            <v>800.57428067000001</v>
          </cell>
          <cell r="R94">
            <v>820.67185719756139</v>
          </cell>
          <cell r="W94">
            <v>841.1540094977621</v>
          </cell>
          <cell r="AB94">
            <v>859.45166289037661</v>
          </cell>
          <cell r="AG94">
            <v>876.21156777978058</v>
          </cell>
          <cell r="AL94">
            <v>893.43193698711866</v>
          </cell>
        </row>
        <row r="99">
          <cell r="H99">
            <v>500.05769889999999</v>
          </cell>
          <cell r="I99">
            <v>517.04956264000009</v>
          </cell>
          <cell r="R99">
            <v>541.5869523844882</v>
          </cell>
          <cell r="W99">
            <v>561.08687477490571</v>
          </cell>
          <cell r="AB99">
            <v>574.51944436542476</v>
          </cell>
          <cell r="AG99">
            <v>587.62377441915214</v>
          </cell>
          <cell r="AL99">
            <v>601.35140898503471</v>
          </cell>
        </row>
        <row r="108">
          <cell r="H108">
            <v>21.510850990000009</v>
          </cell>
          <cell r="I108">
            <v>21.758339149999998</v>
          </cell>
          <cell r="R108">
            <v>25.796719393291689</v>
          </cell>
          <cell r="W108">
            <v>27.1295483333604</v>
          </cell>
          <cell r="AB108">
            <v>28.170072448004674</v>
          </cell>
          <cell r="AG108">
            <v>29.301011645748158</v>
          </cell>
          <cell r="AL108">
            <v>29.305475869425848</v>
          </cell>
        </row>
        <row r="139">
          <cell r="H139">
            <v>12.11324235</v>
          </cell>
          <cell r="I139">
            <v>11.665937100000001</v>
          </cell>
          <cell r="R139">
            <v>17</v>
          </cell>
          <cell r="W139">
            <v>17</v>
          </cell>
          <cell r="AB139">
            <v>17.607756704696129</v>
          </cell>
          <cell r="AG139">
            <v>18.192468216529129</v>
          </cell>
          <cell r="AL139">
            <v>18.81056183887879</v>
          </cell>
        </row>
        <row r="219">
          <cell r="H219">
            <v>88.749631940000015</v>
          </cell>
          <cell r="I219">
            <v>90.1693499</v>
          </cell>
          <cell r="R219">
            <v>85.455354920000005</v>
          </cell>
          <cell r="W219">
            <v>88.086961039774323</v>
          </cell>
          <cell r="AB219">
            <v>90.742914105677684</v>
          </cell>
          <cell r="AG219">
            <v>93.084687179632695</v>
          </cell>
          <cell r="AL219">
            <v>95.432153015832924</v>
          </cell>
        </row>
      </sheetData>
      <sheetData sheetId="3">
        <row r="6">
          <cell r="H6">
            <v>953.31687942999997</v>
          </cell>
          <cell r="I6">
            <v>1023.51358857</v>
          </cell>
          <cell r="R6">
            <v>1023.2470491617455</v>
          </cell>
          <cell r="W6">
            <v>1007.4754968821379</v>
          </cell>
          <cell r="AB6">
            <v>1019.235875343388</v>
          </cell>
          <cell r="AG6">
            <v>1030.2775893922976</v>
          </cell>
          <cell r="AL6">
            <v>1040.5134163048506</v>
          </cell>
        </row>
        <row r="10">
          <cell r="G10">
            <v>713.82187131000001</v>
          </cell>
          <cell r="H10">
            <v>688.32126192999999</v>
          </cell>
          <cell r="I10">
            <v>771.56760064000002</v>
          </cell>
          <cell r="R10">
            <v>772.44554976732979</v>
          </cell>
          <cell r="W10">
            <v>758.25077616096019</v>
          </cell>
          <cell r="AB10">
            <v>772.22755553242428</v>
          </cell>
          <cell r="AG10">
            <v>785.40364681704477</v>
          </cell>
          <cell r="AL10">
            <v>797.74773963515293</v>
          </cell>
        </row>
        <row r="52">
          <cell r="G52">
            <v>0.61399999999999999</v>
          </cell>
          <cell r="H52">
            <v>0.624</v>
          </cell>
          <cell r="I52">
            <v>0.61799999999999999</v>
          </cell>
          <cell r="R52">
            <v>0.61205769230769236</v>
          </cell>
          <cell r="W52">
            <v>0.60617252218934914</v>
          </cell>
          <cell r="AB52">
            <v>0.60034394024522075</v>
          </cell>
          <cell r="AG52">
            <v>0.59457140235824746</v>
          </cell>
          <cell r="AL52">
            <v>0.58885436964326432</v>
          </cell>
        </row>
        <row r="56">
          <cell r="G56">
            <v>5.8455808700000009</v>
          </cell>
          <cell r="H56">
            <v>6.11649434</v>
          </cell>
          <cell r="I56">
            <v>6.51325033</v>
          </cell>
          <cell r="R56">
            <v>6.7671574241075252</v>
          </cell>
          <cell r="W56">
            <v>6.9204885789656556</v>
          </cell>
          <cell r="AB56">
            <v>6.9826154215987506</v>
          </cell>
          <cell r="AG56">
            <v>7.051223574050951</v>
          </cell>
          <cell r="AL56">
            <v>7.1182961187019638</v>
          </cell>
        </row>
        <row r="61">
          <cell r="G61">
            <v>82.129702340000009</v>
          </cell>
          <cell r="H61">
            <v>69.956644780000005</v>
          </cell>
          <cell r="I61">
            <v>60.295213629999992</v>
          </cell>
          <cell r="R61">
            <v>62.425367208813036</v>
          </cell>
          <cell r="W61">
            <v>63.735800643899651</v>
          </cell>
          <cell r="AB61">
            <v>64.414289363652273</v>
          </cell>
          <cell r="AG61">
            <v>65.086201851336739</v>
          </cell>
          <cell r="AL61">
            <v>65.705011451200988</v>
          </cell>
        </row>
        <row r="68">
          <cell r="G68">
            <v>0.22142157000000001</v>
          </cell>
          <cell r="H68">
            <v>0.24857645</v>
          </cell>
          <cell r="I68">
            <v>0.26726557000000001</v>
          </cell>
          <cell r="R68">
            <v>0.26726557000000001</v>
          </cell>
          <cell r="W68">
            <v>0.26726557000000001</v>
          </cell>
          <cell r="AB68">
            <v>0.26726557000000001</v>
          </cell>
          <cell r="AG68">
            <v>0.26726557000000001</v>
          </cell>
          <cell r="AL68">
            <v>0.26726557000000001</v>
          </cell>
        </row>
        <row r="72">
          <cell r="G72">
            <v>182.66916549999999</v>
          </cell>
          <cell r="H72">
            <v>187.32606887</v>
          </cell>
          <cell r="I72">
            <v>184.25225839999999</v>
          </cell>
          <cell r="R72">
            <v>180.72965149918761</v>
          </cell>
          <cell r="W72">
            <v>177.69499340612313</v>
          </cell>
          <cell r="AB72">
            <v>174.7438055154675</v>
          </cell>
          <cell r="AG72">
            <v>171.87468017750678</v>
          </cell>
          <cell r="AL72">
            <v>169.08624916015134</v>
          </cell>
        </row>
        <row r="79">
          <cell r="G79">
            <v>1.1677566599999998</v>
          </cell>
          <cell r="H79">
            <v>0.72383306000000003</v>
          </cell>
          <cell r="I79">
            <v>0</v>
          </cell>
          <cell r="R79">
            <v>0</v>
          </cell>
          <cell r="W79">
            <v>0</v>
          </cell>
          <cell r="AB79">
            <v>0</v>
          </cell>
          <cell r="AG79">
            <v>0</v>
          </cell>
          <cell r="AL79">
            <v>0</v>
          </cell>
        </row>
        <row r="87">
          <cell r="H87">
            <v>953.31687942999986</v>
          </cell>
          <cell r="I87">
            <v>1023.5135885699997</v>
          </cell>
          <cell r="R87">
            <v>1023.2470491617455</v>
          </cell>
          <cell r="W87">
            <v>1007.4754968821378</v>
          </cell>
          <cell r="AB87">
            <v>1019.2358753433879</v>
          </cell>
          <cell r="AG87">
            <v>1030.2775893922976</v>
          </cell>
          <cell r="AL87">
            <v>1040.5134163048506</v>
          </cell>
        </row>
        <row r="92">
          <cell r="H92">
            <v>647.90029649999997</v>
          </cell>
          <cell r="I92">
            <v>667.18409943999995</v>
          </cell>
          <cell r="R92">
            <v>692.67904988381792</v>
          </cell>
          <cell r="W92">
            <v>708.37386411798298</v>
          </cell>
          <cell r="AB92">
            <v>714.73310177574285</v>
          </cell>
          <cell r="AG92">
            <v>721.75575942599573</v>
          </cell>
          <cell r="AL92">
            <v>728.62123389192777</v>
          </cell>
        </row>
        <row r="103">
          <cell r="H103">
            <v>70.945559290000006</v>
          </cell>
          <cell r="I103">
            <v>77.597631250000006</v>
          </cell>
          <cell r="R103">
            <v>84.026243071572026</v>
          </cell>
          <cell r="W103">
            <v>87.798960527216963</v>
          </cell>
          <cell r="AB103">
            <v>90.843256884418324</v>
          </cell>
          <cell r="AG103">
            <v>94.18332324605592</v>
          </cell>
          <cell r="AL103">
            <v>97.644187087783934</v>
          </cell>
        </row>
        <row r="122">
          <cell r="H122">
            <v>0</v>
          </cell>
          <cell r="I122">
            <v>0</v>
          </cell>
          <cell r="R122">
            <v>0</v>
          </cell>
          <cell r="W122">
            <v>0</v>
          </cell>
          <cell r="AB122">
            <v>0</v>
          </cell>
          <cell r="AG122">
            <v>0</v>
          </cell>
          <cell r="AL122">
            <v>0</v>
          </cell>
        </row>
        <row r="171">
          <cell r="H171">
            <v>124.05153402000001</v>
          </cell>
          <cell r="I171">
            <v>48.467233780000001</v>
          </cell>
        </row>
        <row r="180">
          <cell r="H180">
            <v>80.774962340000002</v>
          </cell>
          <cell r="I180">
            <v>72.874318060000007</v>
          </cell>
          <cell r="R180">
            <v>60.295213629999992</v>
          </cell>
          <cell r="W180">
            <v>62.425367208813036</v>
          </cell>
          <cell r="AB180">
            <v>63.735800643899651</v>
          </cell>
          <cell r="AG180">
            <v>64.414289363652273</v>
          </cell>
          <cell r="AL180">
            <v>65.086201851336739</v>
          </cell>
        </row>
      </sheetData>
      <sheetData sheetId="4"/>
      <sheetData sheetId="5">
        <row r="6">
          <cell r="H6">
            <v>6805.3324983500024</v>
          </cell>
          <cell r="I6">
            <v>6893.7466213700009</v>
          </cell>
        </row>
        <row r="10">
          <cell r="G10">
            <v>6105.1522090100025</v>
          </cell>
          <cell r="H10">
            <v>6213.4170283700005</v>
          </cell>
          <cell r="I10">
            <v>6499.3807921200005</v>
          </cell>
        </row>
        <row r="53">
          <cell r="G53">
            <v>269.25585328</v>
          </cell>
          <cell r="H53">
            <v>273.79548434000003</v>
          </cell>
          <cell r="I53">
            <v>107.91984495</v>
          </cell>
        </row>
        <row r="54">
          <cell r="H54">
            <v>242.91464711</v>
          </cell>
          <cell r="I54">
            <v>47.514658859999997</v>
          </cell>
        </row>
        <row r="59">
          <cell r="G59">
            <v>14.52168702</v>
          </cell>
          <cell r="H59">
            <v>13.2449677</v>
          </cell>
          <cell r="I59">
            <v>12.956246630000001</v>
          </cell>
        </row>
        <row r="71">
          <cell r="G71">
            <v>191.33872616000002</v>
          </cell>
          <cell r="H71">
            <v>193.21758862000001</v>
          </cell>
          <cell r="I71">
            <v>158.87089508</v>
          </cell>
        </row>
        <row r="83">
          <cell r="G83">
            <v>0.14893236999999998</v>
          </cell>
          <cell r="H83">
            <v>0.14941246</v>
          </cell>
          <cell r="I83">
            <v>0.16864579000000002</v>
          </cell>
          <cell r="R83">
            <v>0.1777394054170825</v>
          </cell>
          <cell r="W83">
            <v>0.18800038031567431</v>
          </cell>
          <cell r="AB83">
            <v>0.1995794727522075</v>
          </cell>
          <cell r="AG83">
            <v>0.21264705623539201</v>
          </cell>
          <cell r="AL83">
            <v>0.22739569537109133</v>
          </cell>
        </row>
        <row r="87">
          <cell r="G87">
            <v>122.98367417</v>
          </cell>
          <cell r="H87">
            <v>111.07292199</v>
          </cell>
          <cell r="I87">
            <v>114.4501968</v>
          </cell>
          <cell r="R87">
            <v>112.26921774841398</v>
          </cell>
          <cell r="W87">
            <v>110.38392818858091</v>
          </cell>
          <cell r="AB87">
            <v>108.55058675178785</v>
          </cell>
          <cell r="AG87">
            <v>106.76831665597841</v>
          </cell>
          <cell r="AL87">
            <v>105.03626568182631</v>
          </cell>
        </row>
        <row r="94">
          <cell r="G94">
            <v>0.78545597</v>
          </cell>
          <cell r="H94">
            <v>0.43509486999999997</v>
          </cell>
          <cell r="I94">
            <v>0</v>
          </cell>
          <cell r="R94">
            <v>0</v>
          </cell>
          <cell r="W94">
            <v>0</v>
          </cell>
          <cell r="AB94">
            <v>0</v>
          </cell>
          <cell r="AG94">
            <v>0</v>
          </cell>
          <cell r="AL94">
            <v>0</v>
          </cell>
        </row>
        <row r="102">
          <cell r="H102">
            <v>6805.3324983500006</v>
          </cell>
          <cell r="I102">
            <v>6893.7466213700009</v>
          </cell>
        </row>
        <row r="107">
          <cell r="H107">
            <v>3022.4385234800002</v>
          </cell>
          <cell r="I107">
            <v>3132.4160716800002</v>
          </cell>
          <cell r="R107">
            <v>3291.2717900944872</v>
          </cell>
          <cell r="W107">
            <v>3384.8921348363301</v>
          </cell>
          <cell r="AB107">
            <v>3430.1954107600482</v>
          </cell>
          <cell r="AG107">
            <v>3480.2584833295164</v>
          </cell>
          <cell r="AL107">
            <v>3530.4310238130602</v>
          </cell>
        </row>
        <row r="133">
          <cell r="H133">
            <v>251.30351136000002</v>
          </cell>
          <cell r="I133">
            <v>268.16722089000001</v>
          </cell>
          <cell r="R133">
            <v>290.09421979588177</v>
          </cell>
          <cell r="W133">
            <v>303.56411880449269</v>
          </cell>
          <cell r="AB133">
            <v>314.27152348205448</v>
          </cell>
          <cell r="AG133">
            <v>325.99998213377137</v>
          </cell>
          <cell r="AL133">
            <v>325.99998213377137</v>
          </cell>
        </row>
        <row r="152">
          <cell r="H152">
            <v>0</v>
          </cell>
          <cell r="I152">
            <v>0</v>
          </cell>
          <cell r="R152">
            <v>0</v>
          </cell>
          <cell r="W152">
            <v>0</v>
          </cell>
          <cell r="AB152">
            <v>0</v>
          </cell>
          <cell r="AG152">
            <v>0</v>
          </cell>
          <cell r="AL152">
            <v>0</v>
          </cell>
        </row>
        <row r="201">
          <cell r="H201">
            <v>2556.185583</v>
          </cell>
          <cell r="I201">
            <v>2497</v>
          </cell>
          <cell r="R201">
            <v>2613.0473715842845</v>
          </cell>
          <cell r="W201">
            <v>2627.833546425501</v>
          </cell>
          <cell r="AB201">
            <v>2635.490901693986</v>
          </cell>
          <cell r="AG201">
            <v>2626.5805467700188</v>
          </cell>
          <cell r="AL201">
            <v>2606.138871550776</v>
          </cell>
        </row>
        <row r="228">
          <cell r="H228">
            <v>191.56866783000001</v>
          </cell>
          <cell r="I228">
            <v>193.13758862000003</v>
          </cell>
          <cell r="R228">
            <v>158.90219425230987</v>
          </cell>
          <cell r="W228">
            <v>166.32334376428594</v>
          </cell>
          <cell r="AB228">
            <v>172.5736936244983</v>
          </cell>
          <cell r="AG228">
            <v>176.00793243732522</v>
          </cell>
          <cell r="AL228">
            <v>179.33737954725132</v>
          </cell>
        </row>
      </sheetData>
      <sheetData sheetId="6">
        <row r="6">
          <cell r="H6">
            <v>679.87717814999996</v>
          </cell>
          <cell r="I6">
            <v>697.76044102999992</v>
          </cell>
          <cell r="R6">
            <v>711.15579867837289</v>
          </cell>
          <cell r="W6">
            <v>745.92930829009288</v>
          </cell>
          <cell r="AB6">
            <v>758.59290006477045</v>
          </cell>
          <cell r="AG6">
            <v>766.58572842800152</v>
          </cell>
          <cell r="AL6">
            <v>772.11149670579823</v>
          </cell>
        </row>
        <row r="10">
          <cell r="G10">
            <v>644.14725565000003</v>
          </cell>
          <cell r="H10">
            <v>646.33154295999998</v>
          </cell>
          <cell r="I10">
            <v>655.85460454999998</v>
          </cell>
          <cell r="R10">
            <v>668.5010214901198</v>
          </cell>
          <cell r="W10">
            <v>696.21118268926136</v>
          </cell>
          <cell r="AB10">
            <v>708.19961130232105</v>
          </cell>
          <cell r="AG10">
            <v>715.72725352380417</v>
          </cell>
          <cell r="AL10">
            <v>720.94078466163</v>
          </cell>
        </row>
        <row r="53">
          <cell r="G53">
            <v>0</v>
          </cell>
          <cell r="H53">
            <v>0</v>
          </cell>
          <cell r="I53">
            <v>0</v>
          </cell>
          <cell r="R53">
            <v>0</v>
          </cell>
          <cell r="W53">
            <v>5.4027266899999944</v>
          </cell>
          <cell r="AB53">
            <v>5.4027266899998949</v>
          </cell>
          <cell r="AG53">
            <v>5.4027266900001294</v>
          </cell>
          <cell r="AL53">
            <v>5.4027266899999233</v>
          </cell>
        </row>
        <row r="71">
          <cell r="G71">
            <v>28.705175860000001</v>
          </cell>
          <cell r="H71">
            <v>33.495199190000001</v>
          </cell>
          <cell r="I71">
            <v>41.91202131</v>
          </cell>
          <cell r="R71">
            <v>42.66061000553762</v>
          </cell>
          <cell r="W71">
            <v>44.320451212441696</v>
          </cell>
          <cell r="AB71">
            <v>44.995297037833581</v>
          </cell>
          <cell r="AG71">
            <v>45.460264535521397</v>
          </cell>
          <cell r="AL71">
            <v>45.772354919624817</v>
          </cell>
        </row>
        <row r="107">
          <cell r="H107">
            <v>0</v>
          </cell>
          <cell r="I107">
            <v>0</v>
          </cell>
          <cell r="R107">
            <v>0</v>
          </cell>
          <cell r="W107">
            <v>0</v>
          </cell>
          <cell r="AB107">
            <v>0</v>
          </cell>
          <cell r="AG107">
            <v>0</v>
          </cell>
          <cell r="AL107">
            <v>0</v>
          </cell>
        </row>
        <row r="152">
          <cell r="H152">
            <v>0</v>
          </cell>
          <cell r="I152">
            <v>0</v>
          </cell>
          <cell r="R152">
            <v>0</v>
          </cell>
          <cell r="W152">
            <v>0</v>
          </cell>
          <cell r="AB152">
            <v>0</v>
          </cell>
          <cell r="AG152">
            <v>0</v>
          </cell>
          <cell r="AL152">
            <v>0</v>
          </cell>
        </row>
        <row r="208">
          <cell r="H208">
            <v>0</v>
          </cell>
          <cell r="I208">
            <v>0</v>
          </cell>
          <cell r="R208">
            <v>4.9737991503207013E-14</v>
          </cell>
          <cell r="W208">
            <v>1.4210854715202004E-14</v>
          </cell>
          <cell r="AB208">
            <v>0</v>
          </cell>
          <cell r="AG208">
            <v>0</v>
          </cell>
          <cell r="AL208">
            <v>0</v>
          </cell>
        </row>
        <row r="228">
          <cell r="H228">
            <v>28.457053069999997</v>
          </cell>
          <cell r="I228">
            <v>31.258629859999999</v>
          </cell>
          <cell r="R228">
            <v>41.91202131</v>
          </cell>
          <cell r="W228">
            <v>42.66061000553762</v>
          </cell>
          <cell r="AB228">
            <v>44.320451212441696</v>
          </cell>
          <cell r="AG228">
            <v>44.995297037833581</v>
          </cell>
          <cell r="AL228">
            <v>45.460264535521397</v>
          </cell>
        </row>
      </sheetData>
      <sheetData sheetId="7"/>
      <sheetData sheetId="8"/>
      <sheetData sheetId="9">
        <row r="10">
          <cell r="O10">
            <v>477.2197766700001</v>
          </cell>
          <cell r="P10">
            <v>554.70000000000005</v>
          </cell>
          <cell r="Q10">
            <v>614.7005939902042</v>
          </cell>
          <cell r="R10">
            <v>660.07940212144513</v>
          </cell>
          <cell r="S10">
            <v>685.60362242601582</v>
          </cell>
          <cell r="T10">
            <v>714.4409691322769</v>
          </cell>
          <cell r="U10">
            <v>744.47091395844973</v>
          </cell>
        </row>
        <row r="19">
          <cell r="O19">
            <v>319.19019684000006</v>
          </cell>
          <cell r="P19">
            <v>368</v>
          </cell>
          <cell r="Q19">
            <v>411.52773050430324</v>
          </cell>
          <cell r="R19">
            <v>441.9077856170162</v>
          </cell>
          <cell r="S19">
            <v>458.99565661881189</v>
          </cell>
          <cell r="T19">
            <v>478.30158857953893</v>
          </cell>
          <cell r="U19">
            <v>498.40593720439369</v>
          </cell>
        </row>
        <row r="28">
          <cell r="O28">
            <v>157.54734095000009</v>
          </cell>
          <cell r="P28">
            <v>181.6</v>
          </cell>
          <cell r="Q28">
            <v>203.07561630718357</v>
          </cell>
          <cell r="R28">
            <v>218.06719028422782</v>
          </cell>
          <cell r="S28">
            <v>226.49950159120797</v>
          </cell>
          <cell r="T28">
            <v>236.02635419602458</v>
          </cell>
          <cell r="U28">
            <v>245.9471995846057</v>
          </cell>
        </row>
        <row r="40"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die"/>
      <sheetName val="AT"/>
      <sheetName val="Famille"/>
      <sheetName val="Vieillesse"/>
      <sheetName val="SASPA"/>
      <sheetName val="Feuil1"/>
      <sheetName val="Prev Cot Exo"/>
      <sheetName val="Solde Cot Exo"/>
      <sheetName val="Hypotheses"/>
      <sheetName val="allégts généraux 2021"/>
      <sheetName val="allégts généraux 2020"/>
      <sheetName val="allégts généraux 2019"/>
      <sheetName val="PàR2021"/>
      <sheetName val="PàR2020"/>
      <sheetName val="PàR2019"/>
      <sheetName val="PàR2018"/>
      <sheetName val="allégts généraux 2018"/>
      <sheetName val="allégts généraux 2017"/>
      <sheetName val="recettes"/>
      <sheetName val="compens"/>
      <sheetName val="Contribution RG"/>
      <sheetName val="Synthese"/>
      <sheetName val="Soldes Tech Gest"/>
      <sheetName val="Resultat NSA+SA"/>
      <sheetName val="Commentaire"/>
      <sheetName val="CPSS"/>
    </sheetNames>
    <sheetDataSet>
      <sheetData sheetId="0">
        <row r="6">
          <cell r="H6">
            <v>6860.9779221400004</v>
          </cell>
        </row>
        <row r="252">
          <cell r="H252">
            <v>2672.4198642800002</v>
          </cell>
        </row>
      </sheetData>
      <sheetData sheetId="1">
        <row r="6">
          <cell r="H6">
            <v>702.02691303999995</v>
          </cell>
        </row>
      </sheetData>
      <sheetData sheetId="2">
        <row r="6">
          <cell r="H6">
            <v>986.46949825000002</v>
          </cell>
        </row>
        <row r="171">
          <cell r="H171">
            <v>193.54892878000001</v>
          </cell>
        </row>
      </sheetData>
      <sheetData sheetId="3">
        <row r="6">
          <cell r="H6">
            <v>6704.1865379800029</v>
          </cell>
        </row>
        <row r="54">
          <cell r="H54">
            <v>248.57770237</v>
          </cell>
        </row>
      </sheetData>
      <sheetData sheetId="4">
        <row r="6">
          <cell r="H6">
            <v>672.68755252000005</v>
          </cell>
        </row>
        <row r="208">
          <cell r="H208">
            <v>0</v>
          </cell>
        </row>
      </sheetData>
      <sheetData sheetId="5"/>
      <sheetData sheetId="6">
        <row r="11">
          <cell r="N11">
            <v>444.33721217000021</v>
          </cell>
        </row>
        <row r="41">
          <cell r="N41">
            <v>2.3486185999999956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manoir.newten@ccmsa.msa.fr" TargetMode="External"/><Relationship Id="rId2" Type="http://schemas.openxmlformats.org/officeDocument/2006/relationships/hyperlink" Target="mailto:foucaud.david@ccmsa.msa.fr" TargetMode="External"/><Relationship Id="rId1" Type="http://schemas.openxmlformats.org/officeDocument/2006/relationships/hyperlink" Target="mailto:joubert.nadia@ccmsa.msa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vestre.yannick@ccmsa.msa.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7695-FCB7-48E8-9BD0-8EA50C766634}">
  <dimension ref="A1:AE246"/>
  <sheetViews>
    <sheetView showGridLines="0" tabSelected="1" workbookViewId="0"/>
  </sheetViews>
  <sheetFormatPr baseColWidth="10" defaultRowHeight="12.75" x14ac:dyDescent="0.2"/>
  <cols>
    <col min="8" max="31" width="11.42578125" style="661"/>
  </cols>
  <sheetData>
    <row r="1" spans="1:7" ht="16.5" thickTop="1" x14ac:dyDescent="0.25">
      <c r="A1" s="659"/>
      <c r="B1" s="660"/>
      <c r="C1" s="660"/>
      <c r="D1" s="660"/>
      <c r="E1" s="660"/>
      <c r="F1" s="660"/>
      <c r="G1" s="680" t="s">
        <v>302</v>
      </c>
    </row>
    <row r="2" spans="1:7" x14ac:dyDescent="0.2">
      <c r="A2" s="662"/>
      <c r="G2" s="663"/>
    </row>
    <row r="3" spans="1:7" x14ac:dyDescent="0.2">
      <c r="A3" s="662"/>
      <c r="G3" s="663"/>
    </row>
    <row r="4" spans="1:7" x14ac:dyDescent="0.2">
      <c r="A4" s="662"/>
      <c r="G4" s="663"/>
    </row>
    <row r="5" spans="1:7" x14ac:dyDescent="0.2">
      <c r="A5" s="662"/>
      <c r="G5" s="663"/>
    </row>
    <row r="6" spans="1:7" ht="26.25" x14ac:dyDescent="0.2">
      <c r="A6" s="664" t="s">
        <v>288</v>
      </c>
      <c r="B6" s="665"/>
      <c r="C6" s="665"/>
      <c r="D6" s="665"/>
      <c r="E6" s="665"/>
      <c r="F6" s="665"/>
      <c r="G6" s="666"/>
    </row>
    <row r="7" spans="1:7" ht="26.25" x14ac:dyDescent="0.2">
      <c r="A7" s="664" t="s">
        <v>289</v>
      </c>
      <c r="B7" s="665"/>
      <c r="C7" s="665"/>
      <c r="D7" s="665"/>
      <c r="E7" s="665"/>
      <c r="F7" s="665"/>
      <c r="G7" s="666"/>
    </row>
    <row r="8" spans="1:7" ht="24.95" customHeight="1" x14ac:dyDescent="0.35">
      <c r="A8" s="667" t="s">
        <v>303</v>
      </c>
      <c r="B8" s="668"/>
      <c r="C8" s="668"/>
      <c r="D8" s="668"/>
      <c r="E8" s="668"/>
      <c r="F8" s="668"/>
      <c r="G8" s="669"/>
    </row>
    <row r="9" spans="1:7" x14ac:dyDescent="0.2">
      <c r="A9" s="662"/>
      <c r="G9" s="663"/>
    </row>
    <row r="10" spans="1:7" x14ac:dyDescent="0.2">
      <c r="A10" s="662"/>
      <c r="G10" s="663"/>
    </row>
    <row r="11" spans="1:7" x14ac:dyDescent="0.2">
      <c r="A11" s="662"/>
      <c r="G11" s="670" t="s">
        <v>290</v>
      </c>
    </row>
    <row r="12" spans="1:7" x14ac:dyDescent="0.2">
      <c r="A12" s="662" t="s">
        <v>291</v>
      </c>
      <c r="G12" s="663"/>
    </row>
    <row r="13" spans="1:7" x14ac:dyDescent="0.2">
      <c r="A13" s="671" t="s">
        <v>292</v>
      </c>
      <c r="G13" s="663"/>
    </row>
    <row r="14" spans="1:7" x14ac:dyDescent="0.2">
      <c r="A14" s="672" t="s">
        <v>293</v>
      </c>
      <c r="G14" s="663"/>
    </row>
    <row r="15" spans="1:7" x14ac:dyDescent="0.2">
      <c r="A15" s="673"/>
      <c r="G15" s="663"/>
    </row>
    <row r="16" spans="1:7" x14ac:dyDescent="0.2">
      <c r="A16" s="671" t="s">
        <v>294</v>
      </c>
      <c r="G16" s="663"/>
    </row>
    <row r="17" spans="1:7" x14ac:dyDescent="0.2">
      <c r="A17" s="671" t="s">
        <v>295</v>
      </c>
      <c r="G17" s="663"/>
    </row>
    <row r="18" spans="1:7" x14ac:dyDescent="0.2">
      <c r="A18" s="674" t="s">
        <v>296</v>
      </c>
      <c r="G18" s="663"/>
    </row>
    <row r="19" spans="1:7" x14ac:dyDescent="0.2">
      <c r="A19" s="674"/>
      <c r="G19" s="663"/>
    </row>
    <row r="20" spans="1:7" x14ac:dyDescent="0.2">
      <c r="A20" s="675" t="s">
        <v>297</v>
      </c>
      <c r="G20" s="663"/>
    </row>
    <row r="21" spans="1:7" x14ac:dyDescent="0.2">
      <c r="A21" s="675" t="s">
        <v>298</v>
      </c>
      <c r="G21" s="663"/>
    </row>
    <row r="22" spans="1:7" x14ac:dyDescent="0.2">
      <c r="A22" s="674" t="s">
        <v>299</v>
      </c>
      <c r="G22" s="663"/>
    </row>
    <row r="23" spans="1:7" x14ac:dyDescent="0.2">
      <c r="A23" s="674"/>
      <c r="G23" s="663"/>
    </row>
    <row r="24" spans="1:7" x14ac:dyDescent="0.2">
      <c r="A24" s="676" t="s">
        <v>300</v>
      </c>
      <c r="G24" s="663"/>
    </row>
    <row r="25" spans="1:7" x14ac:dyDescent="0.2">
      <c r="A25" s="674" t="s">
        <v>301</v>
      </c>
      <c r="G25" s="663"/>
    </row>
    <row r="26" spans="1:7" ht="13.5" thickBot="1" x14ac:dyDescent="0.25">
      <c r="A26" s="677"/>
      <c r="B26" s="678"/>
      <c r="C26" s="678"/>
      <c r="D26" s="678"/>
      <c r="E26" s="678"/>
      <c r="F26" s="678"/>
      <c r="G26" s="679"/>
    </row>
    <row r="27" spans="1:7" s="661" customFormat="1" ht="13.5" thickTop="1" x14ac:dyDescent="0.2"/>
    <row r="28" spans="1:7" s="661" customFormat="1" x14ac:dyDescent="0.2"/>
    <row r="29" spans="1:7" s="661" customFormat="1" x14ac:dyDescent="0.2"/>
    <row r="30" spans="1:7" s="661" customFormat="1" x14ac:dyDescent="0.2"/>
    <row r="31" spans="1:7" s="661" customFormat="1" x14ac:dyDescent="0.2"/>
    <row r="32" spans="1:7" s="661" customFormat="1" x14ac:dyDescent="0.2"/>
    <row r="33" s="661" customFormat="1" x14ac:dyDescent="0.2"/>
    <row r="34" s="661" customFormat="1" x14ac:dyDescent="0.2"/>
    <row r="35" s="661" customFormat="1" x14ac:dyDescent="0.2"/>
    <row r="36" s="661" customFormat="1" x14ac:dyDescent="0.2"/>
    <row r="37" s="661" customFormat="1" x14ac:dyDescent="0.2"/>
    <row r="38" s="661" customFormat="1" x14ac:dyDescent="0.2"/>
    <row r="39" s="661" customFormat="1" x14ac:dyDescent="0.2"/>
    <row r="40" s="661" customFormat="1" x14ac:dyDescent="0.2"/>
    <row r="41" s="661" customFormat="1" x14ac:dyDescent="0.2"/>
    <row r="42" s="661" customFormat="1" x14ac:dyDescent="0.2"/>
    <row r="43" s="661" customFormat="1" x14ac:dyDescent="0.2"/>
    <row r="44" s="661" customFormat="1" x14ac:dyDescent="0.2"/>
    <row r="45" s="661" customFormat="1" x14ac:dyDescent="0.2"/>
    <row r="46" s="661" customFormat="1" x14ac:dyDescent="0.2"/>
    <row r="47" s="661" customFormat="1" x14ac:dyDescent="0.2"/>
    <row r="48" s="661" customFormat="1" x14ac:dyDescent="0.2"/>
    <row r="49" s="661" customFormat="1" x14ac:dyDescent="0.2"/>
    <row r="50" s="661" customFormat="1" x14ac:dyDescent="0.2"/>
    <row r="51" s="661" customFormat="1" x14ac:dyDescent="0.2"/>
    <row r="52" s="661" customFormat="1" x14ac:dyDescent="0.2"/>
    <row r="53" s="661" customFormat="1" x14ac:dyDescent="0.2"/>
    <row r="54" s="661" customFormat="1" x14ac:dyDescent="0.2"/>
    <row r="55" s="661" customFormat="1" x14ac:dyDescent="0.2"/>
    <row r="56" s="661" customFormat="1" x14ac:dyDescent="0.2"/>
    <row r="57" s="661" customFormat="1" x14ac:dyDescent="0.2"/>
    <row r="58" s="661" customFormat="1" x14ac:dyDescent="0.2"/>
    <row r="59" s="661" customFormat="1" x14ac:dyDescent="0.2"/>
    <row r="60" s="661" customFormat="1" x14ac:dyDescent="0.2"/>
    <row r="61" s="661" customFormat="1" x14ac:dyDescent="0.2"/>
    <row r="62" s="661" customFormat="1" x14ac:dyDescent="0.2"/>
    <row r="63" s="661" customFormat="1" x14ac:dyDescent="0.2"/>
    <row r="64" s="661" customFormat="1" x14ac:dyDescent="0.2"/>
    <row r="65" s="661" customFormat="1" x14ac:dyDescent="0.2"/>
    <row r="66" s="661" customFormat="1" x14ac:dyDescent="0.2"/>
    <row r="67" s="661" customFormat="1" x14ac:dyDescent="0.2"/>
    <row r="68" s="661" customFormat="1" x14ac:dyDescent="0.2"/>
    <row r="69" s="661" customFormat="1" x14ac:dyDescent="0.2"/>
    <row r="70" s="661" customFormat="1" x14ac:dyDescent="0.2"/>
    <row r="71" s="661" customFormat="1" x14ac:dyDescent="0.2"/>
    <row r="72" s="661" customFormat="1" x14ac:dyDescent="0.2"/>
    <row r="73" s="661" customFormat="1" x14ac:dyDescent="0.2"/>
    <row r="74" s="661" customFormat="1" x14ac:dyDescent="0.2"/>
    <row r="75" s="661" customFormat="1" x14ac:dyDescent="0.2"/>
    <row r="76" s="661" customFormat="1" x14ac:dyDescent="0.2"/>
    <row r="77" s="661" customFormat="1" x14ac:dyDescent="0.2"/>
    <row r="78" s="661" customFormat="1" x14ac:dyDescent="0.2"/>
    <row r="79" s="661" customFormat="1" x14ac:dyDescent="0.2"/>
    <row r="80" s="661" customFormat="1" x14ac:dyDescent="0.2"/>
    <row r="81" s="661" customFormat="1" x14ac:dyDescent="0.2"/>
    <row r="82" s="661" customFormat="1" x14ac:dyDescent="0.2"/>
    <row r="83" s="661" customFormat="1" x14ac:dyDescent="0.2"/>
    <row r="84" s="661" customFormat="1" x14ac:dyDescent="0.2"/>
    <row r="85" s="661" customFormat="1" x14ac:dyDescent="0.2"/>
    <row r="86" s="661" customFormat="1" x14ac:dyDescent="0.2"/>
    <row r="87" s="661" customFormat="1" x14ac:dyDescent="0.2"/>
    <row r="88" s="661" customFormat="1" x14ac:dyDescent="0.2"/>
    <row r="89" s="661" customFormat="1" x14ac:dyDescent="0.2"/>
    <row r="90" s="661" customFormat="1" x14ac:dyDescent="0.2"/>
    <row r="91" s="661" customFormat="1" x14ac:dyDescent="0.2"/>
    <row r="92" s="661" customFormat="1" x14ac:dyDescent="0.2"/>
    <row r="93" s="661" customFormat="1" x14ac:dyDescent="0.2"/>
    <row r="94" s="661" customFormat="1" x14ac:dyDescent="0.2"/>
    <row r="95" s="661" customFormat="1" x14ac:dyDescent="0.2"/>
    <row r="96" s="661" customFormat="1" x14ac:dyDescent="0.2"/>
    <row r="97" s="661" customFormat="1" x14ac:dyDescent="0.2"/>
    <row r="98" s="661" customFormat="1" x14ac:dyDescent="0.2"/>
    <row r="99" s="661" customFormat="1" x14ac:dyDescent="0.2"/>
    <row r="100" s="661" customFormat="1" x14ac:dyDescent="0.2"/>
    <row r="101" s="661" customFormat="1" x14ac:dyDescent="0.2"/>
    <row r="102" s="661" customFormat="1" x14ac:dyDescent="0.2"/>
    <row r="103" s="661" customFormat="1" x14ac:dyDescent="0.2"/>
    <row r="104" s="661" customFormat="1" x14ac:dyDescent="0.2"/>
    <row r="105" s="661" customFormat="1" x14ac:dyDescent="0.2"/>
    <row r="106" s="661" customFormat="1" x14ac:dyDescent="0.2"/>
    <row r="107" s="661" customFormat="1" x14ac:dyDescent="0.2"/>
    <row r="108" s="661" customFormat="1" x14ac:dyDescent="0.2"/>
    <row r="109" s="661" customFormat="1" x14ac:dyDescent="0.2"/>
    <row r="110" s="661" customFormat="1" x14ac:dyDescent="0.2"/>
    <row r="111" s="661" customFormat="1" x14ac:dyDescent="0.2"/>
    <row r="112" s="661" customFormat="1" x14ac:dyDescent="0.2"/>
    <row r="113" s="661" customFormat="1" x14ac:dyDescent="0.2"/>
    <row r="114" s="661" customFormat="1" x14ac:dyDescent="0.2"/>
    <row r="115" s="661" customFormat="1" x14ac:dyDescent="0.2"/>
    <row r="116" s="661" customFormat="1" x14ac:dyDescent="0.2"/>
    <row r="117" s="661" customFormat="1" x14ac:dyDescent="0.2"/>
    <row r="118" s="661" customFormat="1" x14ac:dyDescent="0.2"/>
    <row r="119" s="661" customFormat="1" x14ac:dyDescent="0.2"/>
    <row r="120" s="661" customFormat="1" x14ac:dyDescent="0.2"/>
    <row r="121" s="661" customFormat="1" x14ac:dyDescent="0.2"/>
    <row r="122" s="661" customFormat="1" x14ac:dyDescent="0.2"/>
    <row r="123" s="661" customFormat="1" x14ac:dyDescent="0.2"/>
    <row r="124" s="661" customFormat="1" x14ac:dyDescent="0.2"/>
    <row r="125" s="661" customFormat="1" x14ac:dyDescent="0.2"/>
    <row r="126" s="661" customFormat="1" x14ac:dyDescent="0.2"/>
    <row r="127" s="661" customFormat="1" x14ac:dyDescent="0.2"/>
    <row r="128" s="661" customFormat="1" x14ac:dyDescent="0.2"/>
    <row r="129" s="661" customFormat="1" x14ac:dyDescent="0.2"/>
    <row r="130" s="661" customFormat="1" x14ac:dyDescent="0.2"/>
    <row r="131" s="661" customFormat="1" x14ac:dyDescent="0.2"/>
    <row r="132" s="661" customFormat="1" x14ac:dyDescent="0.2"/>
    <row r="133" s="661" customFormat="1" x14ac:dyDescent="0.2"/>
    <row r="134" s="661" customFormat="1" x14ac:dyDescent="0.2"/>
    <row r="135" s="661" customFormat="1" x14ac:dyDescent="0.2"/>
    <row r="136" s="661" customFormat="1" x14ac:dyDescent="0.2"/>
    <row r="137" s="661" customFormat="1" x14ac:dyDescent="0.2"/>
    <row r="138" s="661" customFormat="1" x14ac:dyDescent="0.2"/>
    <row r="139" s="661" customFormat="1" x14ac:dyDescent="0.2"/>
    <row r="140" s="661" customFormat="1" x14ac:dyDescent="0.2"/>
    <row r="141" s="661" customFormat="1" x14ac:dyDescent="0.2"/>
    <row r="142" s="661" customFormat="1" x14ac:dyDescent="0.2"/>
    <row r="143" s="661" customFormat="1" x14ac:dyDescent="0.2"/>
    <row r="144" s="661" customFormat="1" x14ac:dyDescent="0.2"/>
    <row r="145" s="661" customFormat="1" x14ac:dyDescent="0.2"/>
    <row r="146" s="661" customFormat="1" x14ac:dyDescent="0.2"/>
    <row r="147" s="661" customFormat="1" x14ac:dyDescent="0.2"/>
    <row r="148" s="661" customFormat="1" x14ac:dyDescent="0.2"/>
    <row r="149" s="661" customFormat="1" x14ac:dyDescent="0.2"/>
    <row r="150" s="661" customFormat="1" x14ac:dyDescent="0.2"/>
    <row r="151" s="661" customFormat="1" x14ac:dyDescent="0.2"/>
    <row r="152" s="661" customFormat="1" x14ac:dyDescent="0.2"/>
    <row r="153" s="661" customFormat="1" x14ac:dyDescent="0.2"/>
    <row r="154" s="661" customFormat="1" x14ac:dyDescent="0.2"/>
    <row r="155" s="661" customFormat="1" x14ac:dyDescent="0.2"/>
    <row r="156" s="661" customFormat="1" x14ac:dyDescent="0.2"/>
    <row r="157" s="661" customFormat="1" x14ac:dyDescent="0.2"/>
    <row r="158" s="661" customFormat="1" x14ac:dyDescent="0.2"/>
    <row r="159" s="661" customFormat="1" x14ac:dyDescent="0.2"/>
    <row r="160" s="661" customFormat="1" x14ac:dyDescent="0.2"/>
    <row r="161" s="661" customFormat="1" x14ac:dyDescent="0.2"/>
    <row r="162" s="661" customFormat="1" x14ac:dyDescent="0.2"/>
    <row r="163" s="661" customFormat="1" x14ac:dyDescent="0.2"/>
    <row r="164" s="661" customFormat="1" x14ac:dyDescent="0.2"/>
    <row r="165" s="661" customFormat="1" x14ac:dyDescent="0.2"/>
    <row r="166" s="661" customFormat="1" x14ac:dyDescent="0.2"/>
    <row r="167" s="661" customFormat="1" x14ac:dyDescent="0.2"/>
    <row r="168" s="661" customFormat="1" x14ac:dyDescent="0.2"/>
    <row r="169" s="661" customFormat="1" x14ac:dyDescent="0.2"/>
    <row r="170" s="661" customFormat="1" x14ac:dyDescent="0.2"/>
    <row r="171" s="661" customFormat="1" x14ac:dyDescent="0.2"/>
    <row r="172" s="661" customFormat="1" x14ac:dyDescent="0.2"/>
    <row r="173" s="661" customFormat="1" x14ac:dyDescent="0.2"/>
    <row r="174" s="661" customFormat="1" x14ac:dyDescent="0.2"/>
    <row r="175" s="661" customFormat="1" x14ac:dyDescent="0.2"/>
    <row r="176" s="661" customFormat="1" x14ac:dyDescent="0.2"/>
    <row r="177" s="661" customFormat="1" x14ac:dyDescent="0.2"/>
    <row r="178" s="661" customFormat="1" x14ac:dyDescent="0.2"/>
    <row r="179" s="661" customFormat="1" x14ac:dyDescent="0.2"/>
    <row r="180" s="661" customFormat="1" x14ac:dyDescent="0.2"/>
    <row r="181" s="661" customFormat="1" x14ac:dyDescent="0.2"/>
    <row r="182" s="661" customFormat="1" x14ac:dyDescent="0.2"/>
    <row r="183" s="661" customFormat="1" x14ac:dyDescent="0.2"/>
    <row r="184" s="661" customFormat="1" x14ac:dyDescent="0.2"/>
    <row r="185" s="661" customFormat="1" x14ac:dyDescent="0.2"/>
    <row r="186" s="661" customFormat="1" x14ac:dyDescent="0.2"/>
    <row r="187" s="661" customFormat="1" x14ac:dyDescent="0.2"/>
    <row r="188" s="661" customFormat="1" x14ac:dyDescent="0.2"/>
    <row r="189" s="661" customFormat="1" x14ac:dyDescent="0.2"/>
    <row r="190" s="661" customFormat="1" x14ac:dyDescent="0.2"/>
    <row r="191" s="661" customFormat="1" x14ac:dyDescent="0.2"/>
    <row r="192" s="661" customFormat="1" x14ac:dyDescent="0.2"/>
    <row r="193" s="661" customFormat="1" x14ac:dyDescent="0.2"/>
    <row r="194" s="661" customFormat="1" x14ac:dyDescent="0.2"/>
    <row r="195" s="661" customFormat="1" x14ac:dyDescent="0.2"/>
    <row r="196" s="661" customFormat="1" x14ac:dyDescent="0.2"/>
    <row r="197" s="661" customFormat="1" x14ac:dyDescent="0.2"/>
    <row r="198" s="661" customFormat="1" x14ac:dyDescent="0.2"/>
    <row r="199" s="661" customFormat="1" x14ac:dyDescent="0.2"/>
    <row r="200" s="661" customFormat="1" x14ac:dyDescent="0.2"/>
    <row r="201" s="661" customFormat="1" x14ac:dyDescent="0.2"/>
    <row r="202" s="661" customFormat="1" x14ac:dyDescent="0.2"/>
    <row r="203" s="661" customFormat="1" x14ac:dyDescent="0.2"/>
    <row r="204" s="661" customFormat="1" x14ac:dyDescent="0.2"/>
    <row r="205" s="661" customFormat="1" x14ac:dyDescent="0.2"/>
    <row r="206" s="661" customFormat="1" x14ac:dyDescent="0.2"/>
    <row r="207" s="661" customFormat="1" x14ac:dyDescent="0.2"/>
    <row r="208" s="661" customFormat="1" x14ac:dyDescent="0.2"/>
    <row r="209" s="661" customFormat="1" x14ac:dyDescent="0.2"/>
    <row r="210" s="661" customFormat="1" x14ac:dyDescent="0.2"/>
    <row r="211" s="661" customFormat="1" x14ac:dyDescent="0.2"/>
    <row r="212" s="661" customFormat="1" x14ac:dyDescent="0.2"/>
    <row r="213" s="661" customFormat="1" x14ac:dyDescent="0.2"/>
    <row r="214" s="661" customFormat="1" x14ac:dyDescent="0.2"/>
    <row r="215" s="661" customFormat="1" x14ac:dyDescent="0.2"/>
    <row r="216" s="661" customFormat="1" x14ac:dyDescent="0.2"/>
    <row r="217" s="661" customFormat="1" x14ac:dyDescent="0.2"/>
    <row r="218" s="661" customFormat="1" x14ac:dyDescent="0.2"/>
    <row r="219" s="661" customFormat="1" x14ac:dyDescent="0.2"/>
    <row r="220" s="661" customFormat="1" x14ac:dyDescent="0.2"/>
    <row r="221" s="661" customFormat="1" x14ac:dyDescent="0.2"/>
    <row r="222" s="661" customFormat="1" x14ac:dyDescent="0.2"/>
    <row r="223" s="661" customFormat="1" x14ac:dyDescent="0.2"/>
    <row r="224" s="661" customFormat="1" x14ac:dyDescent="0.2"/>
    <row r="225" s="661" customFormat="1" x14ac:dyDescent="0.2"/>
    <row r="226" s="661" customFormat="1" x14ac:dyDescent="0.2"/>
    <row r="227" s="661" customFormat="1" x14ac:dyDescent="0.2"/>
    <row r="228" s="661" customFormat="1" x14ac:dyDescent="0.2"/>
    <row r="229" s="661" customFormat="1" x14ac:dyDescent="0.2"/>
    <row r="230" s="661" customFormat="1" x14ac:dyDescent="0.2"/>
    <row r="231" s="661" customFormat="1" x14ac:dyDescent="0.2"/>
    <row r="232" s="661" customFormat="1" x14ac:dyDescent="0.2"/>
    <row r="233" s="661" customFormat="1" x14ac:dyDescent="0.2"/>
    <row r="234" s="661" customFormat="1" x14ac:dyDescent="0.2"/>
    <row r="235" s="661" customFormat="1" x14ac:dyDescent="0.2"/>
    <row r="236" s="661" customFormat="1" x14ac:dyDescent="0.2"/>
    <row r="237" s="661" customFormat="1" x14ac:dyDescent="0.2"/>
    <row r="238" s="661" customFormat="1" x14ac:dyDescent="0.2"/>
    <row r="239" s="661" customFormat="1" x14ac:dyDescent="0.2"/>
    <row r="240" s="661" customFormat="1" x14ac:dyDescent="0.2"/>
    <row r="241" s="661" customFormat="1" x14ac:dyDescent="0.2"/>
    <row r="242" s="661" customFormat="1" x14ac:dyDescent="0.2"/>
    <row r="243" s="661" customFormat="1" x14ac:dyDescent="0.2"/>
    <row r="244" s="661" customFormat="1" x14ac:dyDescent="0.2"/>
    <row r="245" s="661" customFormat="1" x14ac:dyDescent="0.2"/>
    <row r="246" s="661" customFormat="1" x14ac:dyDescent="0.2"/>
  </sheetData>
  <mergeCells count="3">
    <mergeCell ref="A6:G6"/>
    <mergeCell ref="A7:G7"/>
    <mergeCell ref="A8:G8"/>
  </mergeCells>
  <hyperlinks>
    <hyperlink ref="A14" r:id="rId1" display="mailto:joubert.nadia@ccmsa.msa.fr" xr:uid="{64FF422C-AAD8-415E-85F6-9CD87E7AAD07}"/>
    <hyperlink ref="A18" r:id="rId2" xr:uid="{8788CC01-AA5D-4AFB-817C-52C3430D9B2E}"/>
    <hyperlink ref="A25" r:id="rId3" xr:uid="{FEB823EE-8E05-4F81-BF7B-8C01C86BC168}"/>
    <hyperlink ref="A22" r:id="rId4" xr:uid="{0FF09CD8-6F35-40C6-9D56-EC1F4E1593DA}"/>
  </hyperlinks>
  <pageMargins left="0.7" right="0.7" top="0.75" bottom="0.75" header="0.3" footer="0.3"/>
  <pageSetup paperSize="9"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</sheetPr>
  <dimension ref="A1:K54"/>
  <sheetViews>
    <sheetView zoomScale="90" zoomScaleNormal="90" workbookViewId="0"/>
  </sheetViews>
  <sheetFormatPr baseColWidth="10" defaultRowHeight="14.25" x14ac:dyDescent="0.2"/>
  <cols>
    <col min="1" max="1" width="30.42578125" style="4" bestFit="1" customWidth="1"/>
    <col min="2" max="2" width="13.28515625" style="4" bestFit="1" customWidth="1"/>
    <col min="3" max="7" width="10.7109375" style="4" bestFit="1" customWidth="1"/>
    <col min="8" max="16384" width="11.42578125" style="4"/>
  </cols>
  <sheetData>
    <row r="1" spans="1:11" ht="15" thickBot="1" x14ac:dyDescent="0.25">
      <c r="A1" s="57" t="s">
        <v>38</v>
      </c>
      <c r="B1" s="605">
        <f>'Prest._cotisa.'!D2</f>
        <v>2021</v>
      </c>
      <c r="C1" s="605">
        <f>'Prest._cotisa.'!E2</f>
        <v>2022</v>
      </c>
      <c r="D1" s="607" t="s">
        <v>1</v>
      </c>
      <c r="E1" s="608"/>
      <c r="F1" s="608"/>
      <c r="G1" s="608"/>
      <c r="H1" s="609"/>
    </row>
    <row r="2" spans="1:11" ht="15" thickBot="1" x14ac:dyDescent="0.25">
      <c r="A2" s="58" t="s">
        <v>26</v>
      </c>
      <c r="B2" s="610"/>
      <c r="C2" s="610"/>
      <c r="D2" s="59" t="str">
        <f>'Prest._cotisa.'!F2</f>
        <v>2023(p)</v>
      </c>
      <c r="E2" s="59" t="str">
        <f>'Prest._cotisa.'!G2</f>
        <v>2024(p)</v>
      </c>
      <c r="F2" s="59" t="str">
        <f>'Prest._cotisa.'!H2</f>
        <v>2025(p)</v>
      </c>
      <c r="G2" s="59" t="str">
        <f>'Prest._cotisa.'!I2</f>
        <v>2026(p)</v>
      </c>
      <c r="H2" s="59" t="str">
        <f>'Prest._cotisa.'!J2</f>
        <v>2027(p)</v>
      </c>
      <c r="J2"/>
      <c r="K2"/>
    </row>
    <row r="3" spans="1:11" ht="15" thickBot="1" x14ac:dyDescent="0.25">
      <c r="A3" s="60" t="s">
        <v>27</v>
      </c>
      <c r="B3" s="64">
        <f>CHARGES_PRODUITS!C8</f>
        <v>15044.828520390001</v>
      </c>
      <c r="C3" s="64">
        <f>CHARGES_PRODUITS!D8</f>
        <v>15462.591830660002</v>
      </c>
      <c r="D3" s="64">
        <f>CHARGES_PRODUITS!E8</f>
        <v>15698.371049431697</v>
      </c>
      <c r="E3" s="64">
        <f>CHARGES_PRODUITS!F8</f>
        <v>16189.017363515371</v>
      </c>
      <c r="F3" s="64">
        <f>CHARGES_PRODUITS!G8</f>
        <v>16655.169012595714</v>
      </c>
      <c r="G3" s="64">
        <f>CHARGES_PRODUITS!H8</f>
        <v>17092.588253797723</v>
      </c>
      <c r="H3" s="64">
        <f>CHARGES_PRODUITS!I8</f>
        <v>17525.647959832018</v>
      </c>
      <c r="J3" s="172" t="s">
        <v>241</v>
      </c>
    </row>
    <row r="4" spans="1:11" ht="15" thickBot="1" x14ac:dyDescent="0.25">
      <c r="A4" s="61" t="s">
        <v>28</v>
      </c>
      <c r="B4" s="65">
        <f>CHARGES_PRODUITS!C14</f>
        <v>15075.837638410001</v>
      </c>
      <c r="C4" s="65">
        <f>CHARGES_PRODUITS!D14</f>
        <v>15522.195876170003</v>
      </c>
      <c r="D4" s="65">
        <f>CHARGES_PRODUITS!E14</f>
        <v>15757.931422612723</v>
      </c>
      <c r="E4" s="65">
        <f>CHARGES_PRODUITS!F14</f>
        <v>16246.290900837324</v>
      </c>
      <c r="F4" s="65">
        <f>CHARGES_PRODUITS!G14</f>
        <v>16706.73832035037</v>
      </c>
      <c r="G4" s="65">
        <f>CHARGES_PRODUITS!H14</f>
        <v>17135.326678053327</v>
      </c>
      <c r="H4" s="65">
        <f>CHARGES_PRODUITS!I14</f>
        <v>17557.680355486573</v>
      </c>
      <c r="J4" s="175" t="s">
        <v>136</v>
      </c>
    </row>
    <row r="5" spans="1:11" ht="15" thickBot="1" x14ac:dyDescent="0.25">
      <c r="A5" s="62" t="s">
        <v>39</v>
      </c>
      <c r="B5" s="63">
        <f t="shared" ref="B5:H5" si="0">B4-B3</f>
        <v>31.009118019999732</v>
      </c>
      <c r="C5" s="63">
        <f>C4-C3</f>
        <v>59.604045510001015</v>
      </c>
      <c r="D5" s="63">
        <f>D4-D3</f>
        <v>59.56037318102608</v>
      </c>
      <c r="E5" s="63">
        <f t="shared" si="0"/>
        <v>57.273537321952972</v>
      </c>
      <c r="F5" s="63">
        <f t="shared" si="0"/>
        <v>51.56930775465662</v>
      </c>
      <c r="G5" s="63">
        <f t="shared" si="0"/>
        <v>42.738424255603604</v>
      </c>
      <c r="H5" s="63">
        <f t="shared" si="0"/>
        <v>32.032395654554421</v>
      </c>
    </row>
    <row r="6" spans="1:11" x14ac:dyDescent="0.2">
      <c r="B6" s="130"/>
      <c r="C6" s="130"/>
      <c r="D6" s="130"/>
      <c r="E6" s="130"/>
      <c r="F6" s="130"/>
      <c r="G6" s="130"/>
      <c r="H6" s="130"/>
    </row>
    <row r="7" spans="1:11" ht="15" thickBot="1" x14ac:dyDescent="0.25"/>
    <row r="8" spans="1:11" ht="15" thickBot="1" x14ac:dyDescent="0.25">
      <c r="A8" s="57" t="s">
        <v>38</v>
      </c>
      <c r="B8" s="605" t="str">
        <f>CHARGES_PRODUITS!C19</f>
        <v>2022/2021</v>
      </c>
      <c r="C8" s="607" t="s">
        <v>1</v>
      </c>
      <c r="D8" s="608"/>
      <c r="E8" s="608"/>
      <c r="F8" s="608"/>
      <c r="G8" s="609"/>
    </row>
    <row r="9" spans="1:11" ht="15" thickBot="1" x14ac:dyDescent="0.25">
      <c r="A9" s="58" t="s">
        <v>26</v>
      </c>
      <c r="B9" s="610"/>
      <c r="C9" s="59" t="str">
        <f>CHARGES_PRODUITS!D19</f>
        <v>2023/2022</v>
      </c>
      <c r="D9" s="59" t="str">
        <f>CHARGES_PRODUITS!E19</f>
        <v>2024/2023</v>
      </c>
      <c r="E9" s="59" t="str">
        <f>CHARGES_PRODUITS!F19</f>
        <v>2025/2024</v>
      </c>
      <c r="F9" s="59" t="str">
        <f>CHARGES_PRODUITS!G19</f>
        <v>2026/2025</v>
      </c>
      <c r="G9" s="59" t="str">
        <f>CHARGES_PRODUITS!H19</f>
        <v>2027/2026</v>
      </c>
    </row>
    <row r="10" spans="1:11" ht="15" thickBot="1" x14ac:dyDescent="0.25">
      <c r="A10" s="60" t="s">
        <v>27</v>
      </c>
      <c r="B10" s="66">
        <f t="shared" ref="B10:G10" si="1">C3/B3-1</f>
        <v>2.7767901089986724E-2</v>
      </c>
      <c r="C10" s="66">
        <f t="shared" si="1"/>
        <v>1.5248363363260964E-2</v>
      </c>
      <c r="D10" s="66">
        <f t="shared" si="1"/>
        <v>3.1254600400175692E-2</v>
      </c>
      <c r="E10" s="66">
        <f t="shared" si="1"/>
        <v>2.8794313985411657E-2</v>
      </c>
      <c r="F10" s="66">
        <f t="shared" si="1"/>
        <v>2.6263272433393103E-2</v>
      </c>
      <c r="G10" s="66">
        <f t="shared" si="1"/>
        <v>2.533611057635321E-2</v>
      </c>
      <c r="H10" s="68"/>
      <c r="I10" s="68"/>
    </row>
    <row r="11" spans="1:11" ht="15" thickBot="1" x14ac:dyDescent="0.25">
      <c r="A11" s="61" t="s">
        <v>28</v>
      </c>
      <c r="B11" s="66">
        <f t="shared" ref="B11:G11" si="2">C4/B4-1</f>
        <v>2.9607524866331669E-2</v>
      </c>
      <c r="C11" s="66">
        <f t="shared" si="2"/>
        <v>1.5186997273022751E-2</v>
      </c>
      <c r="D11" s="66">
        <f t="shared" si="2"/>
        <v>3.0991344303212598E-2</v>
      </c>
      <c r="E11" s="66">
        <f t="shared" si="2"/>
        <v>2.8341694871985457E-2</v>
      </c>
      <c r="F11" s="66">
        <f t="shared" si="2"/>
        <v>2.5653622477638027E-2</v>
      </c>
      <c r="G11" s="66">
        <f t="shared" si="2"/>
        <v>2.4648125207568539E-2</v>
      </c>
      <c r="H11" s="68"/>
      <c r="I11" s="68"/>
    </row>
    <row r="12" spans="1:11" ht="15" thickBot="1" x14ac:dyDescent="0.25">
      <c r="A12" s="62" t="s">
        <v>39</v>
      </c>
      <c r="B12" s="67">
        <f t="shared" ref="B12:G12" si="3">C5/B5-1</f>
        <v>0.92214578536411818</v>
      </c>
      <c r="C12" s="67">
        <f t="shared" si="3"/>
        <v>-7.3270746307996237E-4</v>
      </c>
      <c r="D12" s="67">
        <f t="shared" si="3"/>
        <v>-3.839525739911942E-2</v>
      </c>
      <c r="E12" s="67">
        <f t="shared" si="3"/>
        <v>-9.9596250450378898E-2</v>
      </c>
      <c r="F12" s="67">
        <f t="shared" si="3"/>
        <v>-0.17124301030113409</v>
      </c>
      <c r="G12" s="67">
        <f t="shared" si="3"/>
        <v>-0.2505012477067512</v>
      </c>
      <c r="H12" s="68"/>
    </row>
    <row r="13" spans="1:11" x14ac:dyDescent="0.2">
      <c r="B13" s="130"/>
      <c r="C13" s="130"/>
      <c r="D13" s="130"/>
      <c r="E13" s="130"/>
      <c r="F13" s="130"/>
      <c r="G13" s="130"/>
    </row>
    <row r="16" spans="1:11" ht="15.75" thickBot="1" x14ac:dyDescent="0.3">
      <c r="A16" s="15" t="s">
        <v>102</v>
      </c>
      <c r="B16" s="205"/>
    </row>
    <row r="17" spans="1:11" ht="15" thickBot="1" x14ac:dyDescent="0.25">
      <c r="A17" s="57" t="s">
        <v>38</v>
      </c>
      <c r="B17" s="605">
        <f>B1</f>
        <v>2021</v>
      </c>
      <c r="C17" s="605">
        <f>C1</f>
        <v>2022</v>
      </c>
      <c r="D17" s="607" t="s">
        <v>1</v>
      </c>
      <c r="E17" s="608"/>
      <c r="F17" s="608"/>
      <c r="G17" s="608"/>
      <c r="H17" s="609"/>
    </row>
    <row r="18" spans="1:11" ht="15" thickBot="1" x14ac:dyDescent="0.25">
      <c r="A18" s="58" t="s">
        <v>26</v>
      </c>
      <c r="B18" s="606"/>
      <c r="C18" s="606"/>
      <c r="D18" s="131" t="str">
        <f>D2</f>
        <v>2023(p)</v>
      </c>
      <c r="E18" s="131" t="str">
        <f>E2</f>
        <v>2024(p)</v>
      </c>
      <c r="F18" s="131" t="str">
        <f>F2</f>
        <v>2025(p)</v>
      </c>
      <c r="G18" s="131" t="str">
        <f>G2</f>
        <v>2026(p)</v>
      </c>
      <c r="H18" s="131" t="str">
        <f>H2</f>
        <v>2027(p)</v>
      </c>
    </row>
    <row r="19" spans="1:11" x14ac:dyDescent="0.2">
      <c r="A19" s="211" t="s">
        <v>97</v>
      </c>
      <c r="B19" s="208">
        <f>CHARGES_PRODUITS!C9-CHARGES_PRODUITS!C3</f>
        <v>0</v>
      </c>
      <c r="C19" s="208">
        <f>CHARGES_PRODUITS!D9-CHARGES_PRODUITS!D3</f>
        <v>0</v>
      </c>
      <c r="D19" s="208">
        <f>CHARGES_PRODUITS!E9-CHARGES_PRODUITS!E3</f>
        <v>0</v>
      </c>
      <c r="E19" s="208">
        <f>CHARGES_PRODUITS!F9-CHARGES_PRODUITS!F3</f>
        <v>0</v>
      </c>
      <c r="F19" s="208">
        <f>CHARGES_PRODUITS!G9-CHARGES_PRODUITS!G3</f>
        <v>0</v>
      </c>
      <c r="G19" s="208">
        <f>CHARGES_PRODUITS!H9-CHARGES_PRODUITS!H3</f>
        <v>0</v>
      </c>
      <c r="H19" s="208">
        <f>CHARGES_PRODUITS!I9-CHARGES_PRODUITS!I3</f>
        <v>0</v>
      </c>
    </row>
    <row r="20" spans="1:11" x14ac:dyDescent="0.2">
      <c r="A20" s="211" t="s">
        <v>101</v>
      </c>
      <c r="B20" s="208">
        <f>CHARGES_PRODUITS!C10-CHARGES_PRODUITS!C4</f>
        <v>31.009118019999846</v>
      </c>
      <c r="C20" s="208">
        <f>CHARGES_PRODUITS!D10-CHARGES_PRODUITS!D4</f>
        <v>59.604045509999992</v>
      </c>
      <c r="D20" s="208">
        <f>CHARGES_PRODUITS!E10-CHARGES_PRODUITS!E4</f>
        <v>59.560373181025966</v>
      </c>
      <c r="E20" s="208">
        <f>CHARGES_PRODUITS!F10-CHARGES_PRODUITS!F4</f>
        <v>57.273537321953313</v>
      </c>
      <c r="F20" s="208">
        <f>CHARGES_PRODUITS!G10-CHARGES_PRODUITS!G4</f>
        <v>51.569307754655824</v>
      </c>
      <c r="G20" s="208">
        <f>CHARGES_PRODUITS!H10-CHARGES_PRODUITS!H4</f>
        <v>42.7384242556044</v>
      </c>
      <c r="H20" s="208">
        <f>CHARGES_PRODUITS!I10-CHARGES_PRODUITS!I4</f>
        <v>32.032395654553397</v>
      </c>
    </row>
    <row r="21" spans="1:11" x14ac:dyDescent="0.2">
      <c r="A21" s="211" t="s">
        <v>98</v>
      </c>
      <c r="B21" s="208">
        <f>CHARGES_PRODUITS!C11-CHARGES_PRODUITS!C5</f>
        <v>0</v>
      </c>
      <c r="C21" s="208">
        <f>CHARGES_PRODUITS!D11-CHARGES_PRODUITS!D5</f>
        <v>0</v>
      </c>
      <c r="D21" s="208">
        <f>CHARGES_PRODUITS!E11-CHARGES_PRODUITS!E5</f>
        <v>0</v>
      </c>
      <c r="E21" s="208">
        <f>CHARGES_PRODUITS!F11-CHARGES_PRODUITS!F5</f>
        <v>0</v>
      </c>
      <c r="F21" s="208">
        <f>CHARGES_PRODUITS!G11-CHARGES_PRODUITS!G5</f>
        <v>0</v>
      </c>
      <c r="G21" s="208">
        <f>CHARGES_PRODUITS!H11-CHARGES_PRODUITS!H5</f>
        <v>0</v>
      </c>
      <c r="H21" s="208">
        <f>CHARGES_PRODUITS!I11-CHARGES_PRODUITS!I5</f>
        <v>0</v>
      </c>
    </row>
    <row r="22" spans="1:11" x14ac:dyDescent="0.2">
      <c r="A22" s="211" t="s">
        <v>99</v>
      </c>
      <c r="B22" s="208">
        <f>CHARGES_PRODUITS!C12-CHARGES_PRODUITS!C6</f>
        <v>0</v>
      </c>
      <c r="C22" s="208">
        <f>CHARGES_PRODUITS!D12-CHARGES_PRODUITS!D6</f>
        <v>0</v>
      </c>
      <c r="D22" s="208">
        <f>CHARGES_PRODUITS!E12-CHARGES_PRODUITS!E6</f>
        <v>0</v>
      </c>
      <c r="E22" s="208">
        <f>CHARGES_PRODUITS!F12-CHARGES_PRODUITS!F6</f>
        <v>0</v>
      </c>
      <c r="F22" s="208">
        <f>CHARGES_PRODUITS!G12-CHARGES_PRODUITS!G6</f>
        <v>0</v>
      </c>
      <c r="G22" s="208">
        <f>CHARGES_PRODUITS!H12-CHARGES_PRODUITS!H6</f>
        <v>0</v>
      </c>
      <c r="H22" s="208">
        <f>CHARGES_PRODUITS!I12-CHARGES_PRODUITS!I6</f>
        <v>0</v>
      </c>
    </row>
    <row r="23" spans="1:11" x14ac:dyDescent="0.2">
      <c r="A23" s="389" t="s">
        <v>256</v>
      </c>
      <c r="B23" s="208">
        <f>CHARGES_PRODUITS!C13-CHARGES_PRODUITS!C7</f>
        <v>0</v>
      </c>
      <c r="C23" s="208">
        <f>CHARGES_PRODUITS!D13-CHARGES_PRODUITS!D7</f>
        <v>0</v>
      </c>
      <c r="D23" s="208">
        <f>CHARGES_PRODUITS!E13-CHARGES_PRODUITS!E7</f>
        <v>0</v>
      </c>
      <c r="E23" s="208">
        <f>CHARGES_PRODUITS!F13-CHARGES_PRODUITS!F7</f>
        <v>0</v>
      </c>
      <c r="F23" s="208">
        <f>CHARGES_PRODUITS!G13-CHARGES_PRODUITS!G7</f>
        <v>0</v>
      </c>
      <c r="G23" s="208">
        <f>CHARGES_PRODUITS!H13-CHARGES_PRODUITS!H7</f>
        <v>0</v>
      </c>
      <c r="H23" s="208">
        <f>CHARGES_PRODUITS!I13-CHARGES_PRODUITS!I7</f>
        <v>0</v>
      </c>
    </row>
    <row r="24" spans="1:11" ht="15.75" thickBot="1" x14ac:dyDescent="0.3">
      <c r="A24" s="133" t="s">
        <v>39</v>
      </c>
      <c r="B24" s="134">
        <f>SUM(B19:B23)</f>
        <v>31.009118019999846</v>
      </c>
      <c r="C24" s="134">
        <f t="shared" ref="C24:H24" si="4">SUM(C19:C23)</f>
        <v>59.604045509999992</v>
      </c>
      <c r="D24" s="134">
        <f t="shared" si="4"/>
        <v>59.560373181025966</v>
      </c>
      <c r="E24" s="134">
        <f t="shared" si="4"/>
        <v>57.273537321953313</v>
      </c>
      <c r="F24" s="134">
        <f t="shared" si="4"/>
        <v>51.569307754655824</v>
      </c>
      <c r="G24" s="134">
        <f t="shared" si="4"/>
        <v>42.7384242556044</v>
      </c>
      <c r="H24" s="134">
        <f t="shared" si="4"/>
        <v>32.032395654553397</v>
      </c>
      <c r="J24" s="205"/>
      <c r="K24" s="556"/>
    </row>
    <row r="25" spans="1:11" x14ac:dyDescent="0.2">
      <c r="B25" s="135"/>
      <c r="C25" s="135"/>
      <c r="D25" s="135"/>
      <c r="E25" s="135"/>
      <c r="F25" s="135"/>
      <c r="G25" s="135"/>
      <c r="H25" s="135"/>
      <c r="J25" s="172"/>
    </row>
    <row r="26" spans="1:11" ht="15.75" thickBot="1" x14ac:dyDescent="0.3">
      <c r="A26" s="15" t="s">
        <v>100</v>
      </c>
      <c r="C26" s="54">
        <f>C24-C25</f>
        <v>59.604045509999992</v>
      </c>
      <c r="J26" s="175"/>
    </row>
    <row r="27" spans="1:11" ht="15" thickBot="1" x14ac:dyDescent="0.25">
      <c r="A27" s="57" t="s">
        <v>38</v>
      </c>
      <c r="B27" s="605" t="str">
        <f>B8</f>
        <v>2022/2021</v>
      </c>
      <c r="C27" s="607" t="s">
        <v>1</v>
      </c>
      <c r="D27" s="608"/>
      <c r="E27" s="608"/>
      <c r="F27" s="608"/>
      <c r="G27" s="609"/>
    </row>
    <row r="28" spans="1:11" ht="15" thickBot="1" x14ac:dyDescent="0.25">
      <c r="A28" s="58"/>
      <c r="B28" s="606"/>
      <c r="C28" s="131" t="str">
        <f>C9</f>
        <v>2023/2022</v>
      </c>
      <c r="D28" s="131" t="str">
        <f>D9</f>
        <v>2024/2023</v>
      </c>
      <c r="E28" s="131" t="str">
        <f>E9</f>
        <v>2025/2024</v>
      </c>
      <c r="F28" s="131" t="str">
        <f>F9</f>
        <v>2026/2025</v>
      </c>
      <c r="G28" s="131" t="str">
        <f>G9</f>
        <v>2027/2026</v>
      </c>
    </row>
    <row r="29" spans="1:11" x14ac:dyDescent="0.2">
      <c r="A29" s="132" t="s">
        <v>97</v>
      </c>
      <c r="B29" s="136" t="e">
        <f t="shared" ref="B29:G33" si="5">C19/B19-1</f>
        <v>#DIV/0!</v>
      </c>
      <c r="C29" s="136" t="e">
        <f t="shared" si="5"/>
        <v>#DIV/0!</v>
      </c>
      <c r="D29" s="136" t="e">
        <f t="shared" si="5"/>
        <v>#DIV/0!</v>
      </c>
      <c r="E29" s="136" t="e">
        <f t="shared" si="5"/>
        <v>#DIV/0!</v>
      </c>
      <c r="F29" s="136" t="e">
        <f t="shared" si="5"/>
        <v>#DIV/0!</v>
      </c>
      <c r="G29" s="136" t="e">
        <f t="shared" si="5"/>
        <v>#DIV/0!</v>
      </c>
    </row>
    <row r="30" spans="1:11" x14ac:dyDescent="0.2">
      <c r="A30" s="132" t="s">
        <v>101</v>
      </c>
      <c r="B30" s="136">
        <f t="shared" si="5"/>
        <v>0.92214578536407821</v>
      </c>
      <c r="C30" s="136">
        <f t="shared" si="5"/>
        <v>-7.3270746306475232E-4</v>
      </c>
      <c r="D30" s="136">
        <f t="shared" si="5"/>
        <v>-3.8395257399111871E-2</v>
      </c>
      <c r="E30" s="136">
        <f t="shared" si="5"/>
        <v>-9.9596250450398216E-2</v>
      </c>
      <c r="F30" s="136">
        <f t="shared" si="5"/>
        <v>-0.17124301030110578</v>
      </c>
      <c r="G30" s="136">
        <f t="shared" si="5"/>
        <v>-0.25050124770678917</v>
      </c>
    </row>
    <row r="31" spans="1:11" x14ac:dyDescent="0.2">
      <c r="A31" s="132" t="s">
        <v>98</v>
      </c>
      <c r="B31" s="136" t="e">
        <f t="shared" si="5"/>
        <v>#DIV/0!</v>
      </c>
      <c r="C31" s="136" t="e">
        <f t="shared" si="5"/>
        <v>#DIV/0!</v>
      </c>
      <c r="D31" s="136" t="e">
        <f t="shared" si="5"/>
        <v>#DIV/0!</v>
      </c>
      <c r="E31" s="136" t="e">
        <f t="shared" si="5"/>
        <v>#DIV/0!</v>
      </c>
      <c r="F31" s="136" t="e">
        <f t="shared" si="5"/>
        <v>#DIV/0!</v>
      </c>
      <c r="G31" s="136" t="e">
        <f t="shared" si="5"/>
        <v>#DIV/0!</v>
      </c>
    </row>
    <row r="32" spans="1:11" x14ac:dyDescent="0.2">
      <c r="A32" s="132" t="s">
        <v>99</v>
      </c>
      <c r="B32" s="136" t="e">
        <f t="shared" si="5"/>
        <v>#DIV/0!</v>
      </c>
      <c r="C32" s="136" t="e">
        <f t="shared" si="5"/>
        <v>#DIV/0!</v>
      </c>
      <c r="D32" s="136" t="e">
        <f t="shared" si="5"/>
        <v>#DIV/0!</v>
      </c>
      <c r="E32" s="136" t="e">
        <f t="shared" si="5"/>
        <v>#DIV/0!</v>
      </c>
      <c r="F32" s="136" t="e">
        <f t="shared" si="5"/>
        <v>#DIV/0!</v>
      </c>
      <c r="G32" s="136" t="e">
        <f t="shared" si="5"/>
        <v>#DIV/0!</v>
      </c>
    </row>
    <row r="33" spans="1:8" x14ac:dyDescent="0.2">
      <c r="A33" s="390" t="s">
        <v>256</v>
      </c>
      <c r="B33" s="136" t="e">
        <f t="shared" si="5"/>
        <v>#DIV/0!</v>
      </c>
      <c r="C33" s="136" t="e">
        <f t="shared" si="5"/>
        <v>#DIV/0!</v>
      </c>
      <c r="D33" s="136" t="e">
        <f t="shared" si="5"/>
        <v>#DIV/0!</v>
      </c>
      <c r="E33" s="136" t="e">
        <f t="shared" si="5"/>
        <v>#DIV/0!</v>
      </c>
      <c r="F33" s="136" t="e">
        <f t="shared" si="5"/>
        <v>#DIV/0!</v>
      </c>
      <c r="G33" s="136" t="e">
        <f t="shared" si="5"/>
        <v>#DIV/0!</v>
      </c>
    </row>
    <row r="34" spans="1:8" ht="15" thickBot="1" x14ac:dyDescent="0.25">
      <c r="A34" s="133" t="s">
        <v>39</v>
      </c>
      <c r="B34" s="137">
        <f t="shared" ref="B34:G34" si="6">C24/B24-1</f>
        <v>0.92214578536407821</v>
      </c>
      <c r="C34" s="137">
        <f>D24/C24-1</f>
        <v>-7.3270746306475232E-4</v>
      </c>
      <c r="D34" s="137">
        <f t="shared" si="6"/>
        <v>-3.8395257399111871E-2</v>
      </c>
      <c r="E34" s="137">
        <f t="shared" si="6"/>
        <v>-9.9596250450398216E-2</v>
      </c>
      <c r="F34" s="137">
        <f t="shared" si="6"/>
        <v>-0.17124301030110578</v>
      </c>
      <c r="G34" s="137">
        <f t="shared" si="6"/>
        <v>-0.25050124770678917</v>
      </c>
    </row>
    <row r="35" spans="1:8" x14ac:dyDescent="0.2">
      <c r="B35" s="140"/>
      <c r="C35" s="140"/>
      <c r="D35" s="140"/>
      <c r="E35" s="140"/>
      <c r="F35" s="140"/>
      <c r="G35" s="140"/>
    </row>
    <row r="36" spans="1:8" ht="15.75" thickBot="1" x14ac:dyDescent="0.3">
      <c r="A36" s="15" t="s">
        <v>94</v>
      </c>
    </row>
    <row r="37" spans="1:8" ht="15" thickBot="1" x14ac:dyDescent="0.25">
      <c r="A37" s="57" t="s">
        <v>38</v>
      </c>
      <c r="B37" s="605">
        <f>C17</f>
        <v>2022</v>
      </c>
      <c r="C37" s="607" t="s">
        <v>1</v>
      </c>
      <c r="D37" s="608"/>
      <c r="E37" s="608"/>
      <c r="F37" s="608"/>
      <c r="G37" s="609"/>
    </row>
    <row r="38" spans="1:8" ht="15" thickBot="1" x14ac:dyDescent="0.25">
      <c r="A38" s="58"/>
      <c r="B38" s="606"/>
      <c r="C38" s="131" t="str">
        <f>D18</f>
        <v>2023(p)</v>
      </c>
      <c r="D38" s="131" t="str">
        <f>E18</f>
        <v>2024(p)</v>
      </c>
      <c r="E38" s="131" t="str">
        <f>F18</f>
        <v>2025(p)</v>
      </c>
      <c r="F38" s="131" t="str">
        <f>G18</f>
        <v>2026(p)</v>
      </c>
      <c r="G38" s="131" t="str">
        <f>H18</f>
        <v>2027(p)</v>
      </c>
    </row>
    <row r="39" spans="1:8" x14ac:dyDescent="0.2">
      <c r="A39" s="132" t="s">
        <v>97</v>
      </c>
      <c r="B39" s="138" t="e">
        <f t="shared" ref="B39:G39" si="7">(B19/B$24)*B29*100</f>
        <v>#DIV/0!</v>
      </c>
      <c r="C39" s="138" t="e">
        <f t="shared" si="7"/>
        <v>#DIV/0!</v>
      </c>
      <c r="D39" s="138" t="e">
        <f t="shared" si="7"/>
        <v>#DIV/0!</v>
      </c>
      <c r="E39" s="138" t="e">
        <f t="shared" si="7"/>
        <v>#DIV/0!</v>
      </c>
      <c r="F39" s="138" t="e">
        <f t="shared" si="7"/>
        <v>#DIV/0!</v>
      </c>
      <c r="G39" s="138" t="e">
        <f t="shared" si="7"/>
        <v>#DIV/0!</v>
      </c>
    </row>
    <row r="40" spans="1:8" x14ac:dyDescent="0.2">
      <c r="A40" s="132" t="s">
        <v>101</v>
      </c>
      <c r="B40" s="138">
        <f t="shared" ref="B40:G40" si="8">(B20/B$24)*B30*100</f>
        <v>92.214578536407828</v>
      </c>
      <c r="C40" s="138">
        <f t="shared" si="8"/>
        <v>-7.3270746306475232E-2</v>
      </c>
      <c r="D40" s="138">
        <f t="shared" si="8"/>
        <v>-3.8395257399111871</v>
      </c>
      <c r="E40" s="138">
        <f t="shared" si="8"/>
        <v>-9.9596250450398216</v>
      </c>
      <c r="F40" s="138">
        <f t="shared" si="8"/>
        <v>-17.12430103011058</v>
      </c>
      <c r="G40" s="138">
        <f t="shared" si="8"/>
        <v>-25.050124770678917</v>
      </c>
    </row>
    <row r="41" spans="1:8" x14ac:dyDescent="0.2">
      <c r="A41" s="132" t="s">
        <v>98</v>
      </c>
      <c r="B41" s="138" t="e">
        <f t="shared" ref="B41:G41" si="9">(B21/B$24)*B31*100</f>
        <v>#DIV/0!</v>
      </c>
      <c r="C41" s="138" t="e">
        <f t="shared" si="9"/>
        <v>#DIV/0!</v>
      </c>
      <c r="D41" s="138" t="e">
        <f t="shared" si="9"/>
        <v>#DIV/0!</v>
      </c>
      <c r="E41" s="138" t="e">
        <f t="shared" si="9"/>
        <v>#DIV/0!</v>
      </c>
      <c r="F41" s="138" t="e">
        <f t="shared" si="9"/>
        <v>#DIV/0!</v>
      </c>
      <c r="G41" s="138" t="e">
        <f t="shared" si="9"/>
        <v>#DIV/0!</v>
      </c>
    </row>
    <row r="42" spans="1:8" x14ac:dyDescent="0.2">
      <c r="A42" s="132" t="s">
        <v>99</v>
      </c>
      <c r="B42" s="138" t="e">
        <f t="shared" ref="B42:G43" si="10">(B22/B$24)*B32*100</f>
        <v>#DIV/0!</v>
      </c>
      <c r="C42" s="138" t="e">
        <f t="shared" si="10"/>
        <v>#DIV/0!</v>
      </c>
      <c r="D42" s="138" t="e">
        <f t="shared" si="10"/>
        <v>#DIV/0!</v>
      </c>
      <c r="E42" s="138" t="e">
        <f t="shared" si="10"/>
        <v>#DIV/0!</v>
      </c>
      <c r="F42" s="138" t="e">
        <f t="shared" si="10"/>
        <v>#DIV/0!</v>
      </c>
      <c r="G42" s="138" t="e">
        <f t="shared" si="10"/>
        <v>#DIV/0!</v>
      </c>
    </row>
    <row r="43" spans="1:8" x14ac:dyDescent="0.2">
      <c r="A43" s="390" t="s">
        <v>256</v>
      </c>
      <c r="B43" s="138" t="e">
        <f t="shared" si="10"/>
        <v>#DIV/0!</v>
      </c>
      <c r="C43" s="138" t="e">
        <f t="shared" si="10"/>
        <v>#DIV/0!</v>
      </c>
      <c r="D43" s="138" t="e">
        <f t="shared" si="10"/>
        <v>#DIV/0!</v>
      </c>
      <c r="E43" s="138" t="e">
        <f t="shared" si="10"/>
        <v>#DIV/0!</v>
      </c>
      <c r="F43" s="138" t="e">
        <f t="shared" si="10"/>
        <v>#DIV/0!</v>
      </c>
      <c r="G43" s="138" t="e">
        <f t="shared" si="10"/>
        <v>#DIV/0!</v>
      </c>
    </row>
    <row r="44" spans="1:8" ht="15" thickBot="1" x14ac:dyDescent="0.25">
      <c r="A44" s="133" t="s">
        <v>39</v>
      </c>
      <c r="B44" s="139">
        <f t="shared" ref="B44:G44" si="11">(B24/B$24)*B34*100</f>
        <v>92.214578536407828</v>
      </c>
      <c r="C44" s="139">
        <f t="shared" si="11"/>
        <v>-7.3270746306475232E-2</v>
      </c>
      <c r="D44" s="139">
        <f t="shared" si="11"/>
        <v>-3.8395257399111871</v>
      </c>
      <c r="E44" s="139">
        <f t="shared" si="11"/>
        <v>-9.9596250450398216</v>
      </c>
      <c r="F44" s="139">
        <f t="shared" si="11"/>
        <v>-17.12430103011058</v>
      </c>
      <c r="G44" s="139">
        <f t="shared" si="11"/>
        <v>-25.050124770678917</v>
      </c>
    </row>
    <row r="46" spans="1:8" ht="15" thickBot="1" x14ac:dyDescent="0.25">
      <c r="A46" s="205" t="s">
        <v>175</v>
      </c>
      <c r="G46" s="210"/>
    </row>
    <row r="47" spans="1:8" x14ac:dyDescent="0.2">
      <c r="A47" s="614" t="s">
        <v>143</v>
      </c>
      <c r="B47" s="616">
        <f>B17</f>
        <v>2021</v>
      </c>
      <c r="C47" s="616">
        <f>C17</f>
        <v>2022</v>
      </c>
      <c r="D47" s="611" t="str">
        <f>C38</f>
        <v>2023(p)</v>
      </c>
      <c r="E47" s="611" t="str">
        <f>D38</f>
        <v>2024(p)</v>
      </c>
      <c r="F47" s="611" t="str">
        <f>E38</f>
        <v>2025(p)</v>
      </c>
      <c r="G47" s="611" t="str">
        <f>F38</f>
        <v>2026(p)</v>
      </c>
      <c r="H47" s="611" t="str">
        <f>G38</f>
        <v>2027(p)</v>
      </c>
    </row>
    <row r="48" spans="1:8" x14ac:dyDescent="0.2">
      <c r="A48" s="614"/>
      <c r="B48" s="617"/>
      <c r="C48" s="617"/>
      <c r="D48" s="612"/>
      <c r="E48" s="612"/>
      <c r="F48" s="612"/>
      <c r="G48" s="612"/>
      <c r="H48" s="612"/>
    </row>
    <row r="49" spans="1:9" ht="15" thickBot="1" x14ac:dyDescent="0.25">
      <c r="A49" s="615"/>
      <c r="B49" s="618"/>
      <c r="C49" s="618"/>
      <c r="D49" s="613"/>
      <c r="E49" s="613"/>
      <c r="F49" s="613"/>
      <c r="G49" s="613"/>
      <c r="H49" s="613"/>
    </row>
    <row r="50" spans="1:9" ht="15" thickBot="1" x14ac:dyDescent="0.25">
      <c r="A50" s="178" t="s">
        <v>144</v>
      </c>
      <c r="B50" s="209">
        <f>TableauxNote!M14</f>
        <v>2684.8293950799998</v>
      </c>
      <c r="C50" s="179">
        <f>TableauxNote!N14</f>
        <v>2740.6044712799999</v>
      </c>
      <c r="D50" s="179">
        <f>TableauxNote!O14</f>
        <v>2441.7913853158561</v>
      </c>
      <c r="E50" s="179">
        <f>TableauxNote!P14</f>
        <v>2482.641347774585</v>
      </c>
      <c r="F50" s="179">
        <f>TableauxNote!Q14</f>
        <v>2534.6305973228591</v>
      </c>
      <c r="G50" s="179">
        <f>TableauxNote!R14</f>
        <v>2617.5169890881448</v>
      </c>
      <c r="H50" s="179">
        <f>TableauxNote!S14</f>
        <v>2693.0815901590663</v>
      </c>
    </row>
    <row r="51" spans="1:9" ht="15" thickBot="1" x14ac:dyDescent="0.25">
      <c r="A51" s="180" t="s">
        <v>145</v>
      </c>
      <c r="B51" s="209">
        <f>TableauxNote!M15</f>
        <v>124.05153402000001</v>
      </c>
      <c r="C51" s="181">
        <f>TableauxNote!N15</f>
        <v>48.467233780000001</v>
      </c>
      <c r="D51" s="181">
        <f>TableauxNote!O15</f>
        <v>106.43347047991389</v>
      </c>
      <c r="E51" s="181">
        <f>TableauxNote!P15</f>
        <v>68.365586787218206</v>
      </c>
      <c r="F51" s="181">
        <f>TableauxNote!Q15</f>
        <v>68.723004152258767</v>
      </c>
      <c r="G51" s="181">
        <f>TableauxNote!R15</f>
        <v>68.035591301237318</v>
      </c>
      <c r="H51" s="181">
        <f>TableauxNote!S15</f>
        <v>66.552966364195555</v>
      </c>
    </row>
    <row r="52" spans="1:9" ht="15" thickBot="1" x14ac:dyDescent="0.25">
      <c r="A52" s="178" t="s">
        <v>147</v>
      </c>
      <c r="B52" s="209">
        <f>TableauxNote!M16</f>
        <v>-242.91464711</v>
      </c>
      <c r="C52" s="179">
        <f>TableauxNote!N16</f>
        <v>-47.514658859999997</v>
      </c>
      <c r="D52" s="381">
        <f>TableauxNote!O16</f>
        <v>-175.99310021528501</v>
      </c>
      <c r="E52" s="381">
        <f>TableauxNote!P16</f>
        <v>100.76782794247794</v>
      </c>
      <c r="F52" s="381">
        <f>TableauxNote!Q16</f>
        <v>285.66564083427994</v>
      </c>
      <c r="G52" s="381">
        <f>TableauxNote!R16</f>
        <v>438.1388540339135</v>
      </c>
      <c r="H52" s="381">
        <f>TableauxNote!S16</f>
        <v>621.9081359421682</v>
      </c>
      <c r="I52" s="130"/>
    </row>
    <row r="53" spans="1:9" ht="15" thickBot="1" x14ac:dyDescent="0.25">
      <c r="A53" s="178" t="s">
        <v>256</v>
      </c>
      <c r="B53" s="209">
        <f>TableauxNote!M17</f>
        <v>0</v>
      </c>
      <c r="C53" s="179">
        <f>TableauxNote!N17</f>
        <v>0</v>
      </c>
      <c r="D53" s="381">
        <f>TableauxNote!O17</f>
        <v>4.9737991503207013E-14</v>
      </c>
      <c r="E53" s="381">
        <f>TableauxNote!P17</f>
        <v>1.4210854715202004E-14</v>
      </c>
      <c r="F53" s="381">
        <f>TableauxNote!Q17</f>
        <v>0</v>
      </c>
      <c r="G53" s="381">
        <f>TableauxNote!R17</f>
        <v>0</v>
      </c>
      <c r="H53" s="381">
        <f>TableauxNote!S17</f>
        <v>0</v>
      </c>
      <c r="I53" s="130"/>
    </row>
    <row r="54" spans="1:9" ht="15" thickBot="1" x14ac:dyDescent="0.25">
      <c r="A54" s="182" t="s">
        <v>146</v>
      </c>
      <c r="B54" s="183">
        <f t="shared" ref="B54:H54" si="12">SUM(B50:B52)</f>
        <v>2565.96628199</v>
      </c>
      <c r="C54" s="183">
        <f t="shared" si="12"/>
        <v>2741.5570461999996</v>
      </c>
      <c r="D54" s="183">
        <f t="shared" si="12"/>
        <v>2372.2317555804852</v>
      </c>
      <c r="E54" s="183">
        <f t="shared" si="12"/>
        <v>2651.7747625042812</v>
      </c>
      <c r="F54" s="183">
        <f t="shared" si="12"/>
        <v>2889.0192423093981</v>
      </c>
      <c r="G54" s="183">
        <f t="shared" si="12"/>
        <v>3123.6914344232955</v>
      </c>
      <c r="H54" s="183">
        <f t="shared" si="12"/>
        <v>3381.5426924654303</v>
      </c>
    </row>
  </sheetData>
  <mergeCells count="20">
    <mergeCell ref="F47:F49"/>
    <mergeCell ref="G47:G49"/>
    <mergeCell ref="H47:H49"/>
    <mergeCell ref="A47:A49"/>
    <mergeCell ref="B47:B49"/>
    <mergeCell ref="C47:C49"/>
    <mergeCell ref="D47:D49"/>
    <mergeCell ref="E47:E49"/>
    <mergeCell ref="B1:B2"/>
    <mergeCell ref="C1:C2"/>
    <mergeCell ref="D1:H1"/>
    <mergeCell ref="B8:B9"/>
    <mergeCell ref="B17:B18"/>
    <mergeCell ref="C17:C18"/>
    <mergeCell ref="D17:H17"/>
    <mergeCell ref="B27:B28"/>
    <mergeCell ref="C27:G27"/>
    <mergeCell ref="B37:B38"/>
    <mergeCell ref="C37:G37"/>
    <mergeCell ref="C8:G8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39"/>
  <sheetViews>
    <sheetView topLeftCell="A25" zoomScale="110" zoomScaleNormal="110" zoomScaleSheetLayoutView="90" workbookViewId="0"/>
  </sheetViews>
  <sheetFormatPr baseColWidth="10" defaultColWidth="11.42578125" defaultRowHeight="12" x14ac:dyDescent="0.2"/>
  <cols>
    <col min="1" max="1" width="21.7109375" style="229" customWidth="1"/>
    <col min="2" max="2" width="17.7109375" style="229" customWidth="1"/>
    <col min="3" max="4" width="11.42578125" style="229"/>
    <col min="5" max="5" width="12.42578125" style="229" customWidth="1"/>
    <col min="6" max="6" width="12" style="229" customWidth="1"/>
    <col min="7" max="7" width="11.42578125" style="229"/>
    <col min="8" max="8" width="11.5703125" style="229" bestFit="1" customWidth="1"/>
    <col min="9" max="10" width="11.42578125" style="229"/>
    <col min="11" max="11" width="15.28515625" style="229" customWidth="1"/>
    <col min="12" max="12" width="13.7109375" style="229" bestFit="1" customWidth="1"/>
    <col min="13" max="13" width="15.28515625" style="229" customWidth="1"/>
    <col min="14" max="16384" width="11.42578125" style="229"/>
  </cols>
  <sheetData>
    <row r="1" spans="1:19" ht="12.75" x14ac:dyDescent="0.2">
      <c r="E1"/>
    </row>
    <row r="2" spans="1:19" ht="12.75" x14ac:dyDescent="0.2">
      <c r="A2" s="230" t="s">
        <v>179</v>
      </c>
      <c r="E2"/>
    </row>
    <row r="3" spans="1:19" ht="12.75" x14ac:dyDescent="0.2">
      <c r="A3" s="231"/>
      <c r="E3"/>
    </row>
    <row r="4" spans="1:19" ht="12.75" x14ac:dyDescent="0.2">
      <c r="A4" s="450" t="s">
        <v>278</v>
      </c>
      <c r="B4" s="451"/>
      <c r="C4" s="451"/>
      <c r="D4" s="451"/>
      <c r="E4"/>
    </row>
    <row r="5" spans="1:19" ht="7.5" customHeight="1" thickBot="1" x14ac:dyDescent="0.25">
      <c r="A5" s="452"/>
    </row>
    <row r="6" spans="1:19" ht="12.75" thickBot="1" x14ac:dyDescent="0.25">
      <c r="A6" s="619" t="s">
        <v>180</v>
      </c>
      <c r="B6" s="620"/>
      <c r="C6" s="453" t="s">
        <v>181</v>
      </c>
      <c r="D6" s="453" t="s">
        <v>181</v>
      </c>
      <c r="E6" s="623" t="s">
        <v>1</v>
      </c>
      <c r="F6" s="624"/>
      <c r="G6" s="624"/>
      <c r="H6" s="624"/>
      <c r="I6" s="625"/>
    </row>
    <row r="7" spans="1:19" ht="13.5" thickBot="1" x14ac:dyDescent="0.25">
      <c r="A7" s="621"/>
      <c r="B7" s="622"/>
      <c r="C7" s="232">
        <v>2021</v>
      </c>
      <c r="D7" s="232">
        <v>2022</v>
      </c>
      <c r="E7" s="232">
        <v>2023</v>
      </c>
      <c r="F7" s="232">
        <f t="shared" ref="F7:I7" si="0">E7+1</f>
        <v>2024</v>
      </c>
      <c r="G7" s="232">
        <f t="shared" si="0"/>
        <v>2025</v>
      </c>
      <c r="H7" s="232">
        <f t="shared" si="0"/>
        <v>2026</v>
      </c>
      <c r="I7" s="454">
        <f t="shared" si="0"/>
        <v>2027</v>
      </c>
      <c r="K7"/>
    </row>
    <row r="8" spans="1:19" x14ac:dyDescent="0.2">
      <c r="A8" s="455" t="s">
        <v>182</v>
      </c>
      <c r="B8" s="234" t="s">
        <v>279</v>
      </c>
      <c r="C8" s="456">
        <v>165330.38700000002</v>
      </c>
      <c r="D8" s="457">
        <v>180995.44200000001</v>
      </c>
      <c r="E8" s="458">
        <v>186787.29614400002</v>
      </c>
      <c r="F8" s="458">
        <v>190523.04206688004</v>
      </c>
      <c r="G8" s="458">
        <v>194745.60288243319</v>
      </c>
      <c r="H8" s="458">
        <v>199061.74828307179</v>
      </c>
      <c r="I8" s="458">
        <v>203473.5523832842</v>
      </c>
      <c r="K8" s="235"/>
      <c r="L8" s="235"/>
      <c r="M8" s="235"/>
      <c r="N8" s="235"/>
      <c r="O8" s="235"/>
      <c r="P8" s="235"/>
      <c r="Q8" s="235"/>
      <c r="R8" s="235"/>
      <c r="S8" s="235"/>
    </row>
    <row r="9" spans="1:19" x14ac:dyDescent="0.2">
      <c r="A9" s="459"/>
      <c r="B9" s="234" t="s">
        <v>225</v>
      </c>
      <c r="C9" s="460">
        <v>101122.37299999999</v>
      </c>
      <c r="D9" s="457">
        <v>111480.122</v>
      </c>
      <c r="E9" s="458">
        <v>113932.68468400001</v>
      </c>
      <c r="F9" s="458">
        <v>116439.20374704801</v>
      </c>
      <c r="G9" s="458">
        <v>119115.62892902081</v>
      </c>
      <c r="H9" s="458">
        <v>121853.57335472065</v>
      </c>
      <c r="I9" s="458">
        <v>124654.45108099256</v>
      </c>
      <c r="K9" s="235"/>
      <c r="L9" s="235"/>
      <c r="M9" s="235"/>
      <c r="N9" s="235"/>
      <c r="O9" s="235"/>
      <c r="P9" s="235"/>
      <c r="Q9" s="235"/>
      <c r="R9" s="235"/>
      <c r="S9" s="235"/>
    </row>
    <row r="10" spans="1:19" ht="12" customHeight="1" x14ac:dyDescent="0.2">
      <c r="A10" s="461"/>
      <c r="B10" s="234" t="s">
        <v>183</v>
      </c>
      <c r="C10" s="460">
        <v>345400.35399999999</v>
      </c>
      <c r="D10" s="457">
        <v>358389.353</v>
      </c>
      <c r="E10" s="458">
        <v>370932.98035499995</v>
      </c>
      <c r="F10" s="458">
        <v>373266.29222892429</v>
      </c>
      <c r="G10" s="458">
        <v>373931.37731467304</v>
      </c>
      <c r="H10" s="458">
        <v>374597.6474476133</v>
      </c>
      <c r="I10" s="458">
        <v>375265.10473925964</v>
      </c>
      <c r="K10" s="235"/>
      <c r="L10" s="235"/>
      <c r="M10" s="235"/>
      <c r="N10" s="235"/>
      <c r="O10" s="235"/>
      <c r="P10" s="235"/>
      <c r="Q10" s="235"/>
      <c r="R10" s="235"/>
      <c r="S10" s="235"/>
    </row>
    <row r="11" spans="1:19" ht="12" customHeight="1" thickBot="1" x14ac:dyDescent="0.25">
      <c r="A11" s="461"/>
      <c r="B11" s="236" t="s">
        <v>184</v>
      </c>
      <c r="C11" s="462">
        <f>SUM(C8:C10)</f>
        <v>611853.11400000006</v>
      </c>
      <c r="D11" s="462">
        <f>SUM(D8:D10)</f>
        <v>650864.91700000002</v>
      </c>
      <c r="E11" s="462">
        <f t="shared" ref="E11:I11" si="1">SUM(E8:E10)</f>
        <v>671652.96118299989</v>
      </c>
      <c r="F11" s="462">
        <f t="shared" si="1"/>
        <v>680228.53804285242</v>
      </c>
      <c r="G11" s="462">
        <f t="shared" si="1"/>
        <v>687792.60912612709</v>
      </c>
      <c r="H11" s="462">
        <f t="shared" si="1"/>
        <v>695512.96908540581</v>
      </c>
      <c r="I11" s="462">
        <f t="shared" si="1"/>
        <v>703393.10820353637</v>
      </c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x14ac:dyDescent="0.2">
      <c r="A12" s="463" t="s">
        <v>185</v>
      </c>
      <c r="B12" s="233" t="s">
        <v>280</v>
      </c>
      <c r="C12" s="456">
        <v>34180.250999999997</v>
      </c>
      <c r="D12" s="464">
        <v>35724.197</v>
      </c>
      <c r="E12" s="464">
        <v>35545.576014999999</v>
      </c>
      <c r="F12" s="464">
        <v>32647.476974570411</v>
      </c>
      <c r="G12" s="464">
        <v>34115.47286402079</v>
      </c>
      <c r="H12" s="464">
        <v>35649.477282495383</v>
      </c>
      <c r="I12" s="464">
        <v>37252.458307721965</v>
      </c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19" ht="12" customHeight="1" x14ac:dyDescent="0.2">
      <c r="A13" s="465"/>
      <c r="B13" s="234" t="s">
        <v>183</v>
      </c>
      <c r="C13" s="460">
        <v>203268.62300000002</v>
      </c>
      <c r="D13" s="457">
        <v>206989.00899999999</v>
      </c>
      <c r="E13" s="457">
        <v>210541.52418729346</v>
      </c>
      <c r="F13" s="457">
        <v>212442.16367480173</v>
      </c>
      <c r="G13" s="457">
        <v>212606.55676416479</v>
      </c>
      <c r="H13" s="457">
        <v>212771.07706503506</v>
      </c>
      <c r="I13" s="457">
        <v>212935.72467585196</v>
      </c>
      <c r="K13" s="235"/>
      <c r="L13" s="235"/>
      <c r="M13" s="235"/>
      <c r="N13" s="235"/>
      <c r="O13" s="235"/>
      <c r="P13" s="235"/>
      <c r="Q13" s="235"/>
      <c r="R13" s="235"/>
      <c r="S13" s="235"/>
    </row>
    <row r="14" spans="1:19" ht="12.75" customHeight="1" thickBot="1" x14ac:dyDescent="0.25">
      <c r="A14" s="466"/>
      <c r="B14" s="236" t="s">
        <v>184</v>
      </c>
      <c r="C14" s="462">
        <f>SUM(C12:C13)</f>
        <v>237448.87400000001</v>
      </c>
      <c r="D14" s="462">
        <f>SUM(D12:D13)</f>
        <v>242713.20600000001</v>
      </c>
      <c r="E14" s="462">
        <f t="shared" ref="E14:I14" si="2">SUM(E12:E13)</f>
        <v>246087.10020229346</v>
      </c>
      <c r="F14" s="462">
        <f t="shared" si="2"/>
        <v>245089.64064937213</v>
      </c>
      <c r="G14" s="462">
        <f t="shared" si="2"/>
        <v>246722.02962818558</v>
      </c>
      <c r="H14" s="462">
        <f t="shared" si="2"/>
        <v>248420.55434753044</v>
      </c>
      <c r="I14" s="462">
        <f t="shared" si="2"/>
        <v>250188.18298357393</v>
      </c>
      <c r="K14" s="235"/>
      <c r="L14" s="235"/>
      <c r="M14" s="235"/>
      <c r="N14" s="235"/>
      <c r="O14" s="235"/>
      <c r="P14" s="235"/>
      <c r="Q14" s="235"/>
      <c r="R14" s="235"/>
      <c r="S14" s="235"/>
    </row>
    <row r="15" spans="1:19" x14ac:dyDescent="0.2">
      <c r="A15" s="463" t="s">
        <v>187</v>
      </c>
      <c r="B15" s="233" t="str">
        <f>B12</f>
        <v xml:space="preserve">Cdd </v>
      </c>
      <c r="C15" s="456">
        <v>37916.883999999998</v>
      </c>
      <c r="D15" s="464">
        <v>41011.483</v>
      </c>
      <c r="E15" s="457">
        <v>41220.641563300007</v>
      </c>
      <c r="F15" s="457">
        <v>42868.812295160096</v>
      </c>
      <c r="G15" s="457">
        <v>44583.564786966504</v>
      </c>
      <c r="H15" s="457">
        <v>46366.907378445168</v>
      </c>
      <c r="I15" s="457">
        <v>48221.58367358298</v>
      </c>
      <c r="K15" s="235"/>
      <c r="L15" s="235"/>
      <c r="M15" s="235"/>
      <c r="N15" s="235"/>
      <c r="O15" s="235"/>
      <c r="P15" s="235"/>
      <c r="Q15" s="235"/>
      <c r="R15" s="235"/>
      <c r="S15" s="235"/>
    </row>
    <row r="16" spans="1:19" ht="12" customHeight="1" x14ac:dyDescent="0.2">
      <c r="A16" s="465"/>
      <c r="B16" s="234" t="s">
        <v>183</v>
      </c>
      <c r="C16" s="460">
        <v>298565.56199999998</v>
      </c>
      <c r="D16" s="457">
        <v>301625.63799999998</v>
      </c>
      <c r="E16" s="457">
        <v>306150.02256999997</v>
      </c>
      <c r="F16" s="457">
        <v>311093.88846370444</v>
      </c>
      <c r="G16" s="457">
        <v>312649.35790602292</v>
      </c>
      <c r="H16" s="457">
        <v>314212.60469555302</v>
      </c>
      <c r="I16" s="457">
        <v>315783.66771903075</v>
      </c>
      <c r="K16" s="235"/>
      <c r="L16" s="235"/>
      <c r="M16" s="235"/>
      <c r="N16" s="235"/>
      <c r="O16" s="235"/>
      <c r="P16" s="235"/>
      <c r="Q16" s="235"/>
      <c r="R16" s="235"/>
      <c r="S16" s="235"/>
    </row>
    <row r="17" spans="1:27" ht="12.75" customHeight="1" thickBot="1" x14ac:dyDescent="0.25">
      <c r="A17" s="466"/>
      <c r="B17" s="236" t="s">
        <v>184</v>
      </c>
      <c r="C17" s="462">
        <f>SUM(C15:C16)</f>
        <v>336482.446</v>
      </c>
      <c r="D17" s="462">
        <f>SUM(D15:D16)</f>
        <v>342637.12099999998</v>
      </c>
      <c r="E17" s="462">
        <f t="shared" ref="E17:I17" si="3">SUM(E15:E16)</f>
        <v>347370.66413329996</v>
      </c>
      <c r="F17" s="462">
        <f t="shared" si="3"/>
        <v>353962.70075886452</v>
      </c>
      <c r="G17" s="462">
        <f t="shared" si="3"/>
        <v>357232.92269298941</v>
      </c>
      <c r="H17" s="462">
        <f t="shared" si="3"/>
        <v>360579.51207399816</v>
      </c>
      <c r="I17" s="462">
        <f t="shared" si="3"/>
        <v>364005.25139261375</v>
      </c>
      <c r="K17" s="235"/>
      <c r="L17" s="235"/>
      <c r="M17" s="235"/>
      <c r="N17" s="235"/>
      <c r="O17" s="235"/>
      <c r="P17" s="235"/>
      <c r="Q17" s="235"/>
      <c r="R17" s="235"/>
      <c r="S17" s="235"/>
    </row>
    <row r="18" spans="1:27" x14ac:dyDescent="0.2">
      <c r="A18" s="467" t="s">
        <v>188</v>
      </c>
      <c r="B18" s="234" t="str">
        <f>B12</f>
        <v xml:space="preserve">Cdd </v>
      </c>
      <c r="C18" s="460">
        <v>56656.756000000001</v>
      </c>
      <c r="D18" s="464">
        <v>60297.201999999997</v>
      </c>
      <c r="E18" s="457">
        <v>60604.717730200005</v>
      </c>
      <c r="F18" s="457">
        <v>58529.75335092649</v>
      </c>
      <c r="G18" s="457">
        <v>59700.348417945024</v>
      </c>
      <c r="H18" s="457">
        <v>60894.355386303927</v>
      </c>
      <c r="I18" s="457">
        <v>62112.242494030004</v>
      </c>
      <c r="K18" s="235"/>
      <c r="L18" s="235"/>
      <c r="M18" s="235"/>
      <c r="N18" s="235"/>
      <c r="O18" s="235"/>
      <c r="P18" s="235"/>
      <c r="Q18" s="235"/>
      <c r="R18" s="235"/>
      <c r="S18" s="235"/>
    </row>
    <row r="19" spans="1:27" ht="12" customHeight="1" x14ac:dyDescent="0.2">
      <c r="A19" s="465"/>
      <c r="B19" s="237" t="s">
        <v>183</v>
      </c>
      <c r="C19" s="460">
        <v>137424.81</v>
      </c>
      <c r="D19" s="457">
        <v>148786.08499999999</v>
      </c>
      <c r="E19" s="457">
        <v>152803.30929499998</v>
      </c>
      <c r="F19" s="457">
        <v>165352.61894296051</v>
      </c>
      <c r="G19" s="457">
        <v>166179.3820376753</v>
      </c>
      <c r="H19" s="457">
        <v>167010.27894786367</v>
      </c>
      <c r="I19" s="457">
        <v>167845.33034260297</v>
      </c>
      <c r="K19" s="235"/>
      <c r="L19" s="235"/>
      <c r="M19" s="235"/>
      <c r="N19" s="235"/>
      <c r="O19" s="235"/>
      <c r="P19" s="235"/>
      <c r="Q19" s="235"/>
      <c r="R19" s="235"/>
      <c r="S19" s="235"/>
    </row>
    <row r="20" spans="1:27" ht="12.75" customHeight="1" thickBot="1" x14ac:dyDescent="0.25">
      <c r="A20" s="465"/>
      <c r="B20" s="468" t="s">
        <v>184</v>
      </c>
      <c r="C20" s="469">
        <f>SUM(C18:C19)</f>
        <v>194081.56599999999</v>
      </c>
      <c r="D20" s="469">
        <f>SUM(D18:D19)</f>
        <v>209083.28699999998</v>
      </c>
      <c r="E20" s="469">
        <f t="shared" ref="E20:I20" si="4">SUM(E18:E19)</f>
        <v>213408.02702519999</v>
      </c>
      <c r="F20" s="469">
        <f t="shared" si="4"/>
        <v>223882.37229388702</v>
      </c>
      <c r="G20" s="469">
        <f t="shared" si="4"/>
        <v>225879.73045562033</v>
      </c>
      <c r="H20" s="469">
        <f t="shared" si="4"/>
        <v>227904.63433416758</v>
      </c>
      <c r="I20" s="469">
        <f t="shared" si="4"/>
        <v>229957.57283663299</v>
      </c>
      <c r="K20" s="235"/>
      <c r="L20" s="235"/>
      <c r="M20" s="235"/>
      <c r="N20" s="235"/>
      <c r="O20" s="235"/>
      <c r="P20" s="235"/>
      <c r="Q20" s="235"/>
      <c r="R20" s="235"/>
      <c r="S20" s="235"/>
    </row>
    <row r="21" spans="1:27" ht="13.5" thickBot="1" x14ac:dyDescent="0.25">
      <c r="A21" s="626" t="s">
        <v>189</v>
      </c>
      <c r="B21" s="627"/>
      <c r="C21" s="470">
        <f>C20+C17+C14+C11</f>
        <v>1379866</v>
      </c>
      <c r="D21" s="470">
        <f t="shared" ref="D21:I21" si="5">D20+D17+D14+D11</f>
        <v>1445298.531</v>
      </c>
      <c r="E21" s="470">
        <f t="shared" si="5"/>
        <v>1478518.7525437933</v>
      </c>
      <c r="F21" s="470">
        <f t="shared" si="5"/>
        <v>1503163.2517449763</v>
      </c>
      <c r="G21" s="470">
        <f t="shared" si="5"/>
        <v>1517627.2919029223</v>
      </c>
      <c r="H21" s="470">
        <f t="shared" si="5"/>
        <v>1532417.6698411021</v>
      </c>
      <c r="I21" s="470">
        <f t="shared" si="5"/>
        <v>1547544.1154163571</v>
      </c>
      <c r="J21" s="197"/>
      <c r="K21" s="235"/>
      <c r="L21" s="235"/>
      <c r="M21" s="235"/>
      <c r="N21" s="235"/>
      <c r="O21" s="235"/>
      <c r="P21" s="235"/>
      <c r="Q21" s="235"/>
      <c r="R21" s="235"/>
      <c r="S21" s="235"/>
    </row>
    <row r="22" spans="1:27" ht="12.75" x14ac:dyDescent="0.2">
      <c r="A22" s="267"/>
      <c r="B22" s="268" t="s">
        <v>222</v>
      </c>
      <c r="C22" s="471">
        <f>C9+C8+C12+C15+C18</f>
        <v>395206.65100000001</v>
      </c>
      <c r="D22" s="471">
        <f t="shared" ref="D22:I22" si="6">D9+D8+D12+D15+D18</f>
        <v>429508.446</v>
      </c>
      <c r="E22" s="471">
        <f t="shared" si="6"/>
        <v>438090.91613649996</v>
      </c>
      <c r="F22" s="471">
        <f t="shared" si="6"/>
        <v>441008.28843458509</v>
      </c>
      <c r="G22" s="471">
        <f t="shared" si="6"/>
        <v>452260.6178803863</v>
      </c>
      <c r="H22" s="471">
        <f t="shared" si="6"/>
        <v>463826.06168503693</v>
      </c>
      <c r="I22" s="471">
        <f t="shared" si="6"/>
        <v>475714.28793961171</v>
      </c>
      <c r="J22"/>
      <c r="K22" s="235"/>
      <c r="L22" s="235"/>
      <c r="M22" s="235"/>
      <c r="N22" s="235"/>
      <c r="O22" s="235"/>
      <c r="P22" s="235"/>
      <c r="Q22" s="235"/>
      <c r="R22" s="235"/>
      <c r="S22" s="235"/>
    </row>
    <row r="23" spans="1:27" ht="13.5" thickBot="1" x14ac:dyDescent="0.25">
      <c r="A23" s="269"/>
      <c r="B23" s="270" t="s">
        <v>223</v>
      </c>
      <c r="C23" s="472">
        <f>C10+C13+C16+C19</f>
        <v>984659.34899999993</v>
      </c>
      <c r="D23" s="472">
        <f t="shared" ref="D23:I23" si="7">D10+D13+D16+D19</f>
        <v>1015790.085</v>
      </c>
      <c r="E23" s="472">
        <f t="shared" si="7"/>
        <v>1040427.8364072933</v>
      </c>
      <c r="F23" s="472">
        <f t="shared" si="7"/>
        <v>1062154.9633103912</v>
      </c>
      <c r="G23" s="472">
        <f t="shared" si="7"/>
        <v>1065366.674022536</v>
      </c>
      <c r="H23" s="472">
        <f t="shared" si="7"/>
        <v>1068591.608156065</v>
      </c>
      <c r="I23" s="472">
        <f t="shared" si="7"/>
        <v>1071829.8274767452</v>
      </c>
      <c r="J23"/>
      <c r="K23" s="235"/>
      <c r="L23" s="235"/>
      <c r="M23" s="235"/>
      <c r="N23" s="235"/>
      <c r="O23" s="235"/>
      <c r="P23" s="235"/>
      <c r="Q23" s="235"/>
      <c r="R23" s="235"/>
      <c r="S23" s="235"/>
    </row>
    <row r="24" spans="1:27" ht="12.75" x14ac:dyDescent="0.2">
      <c r="A24" s="473"/>
      <c r="B24" s="474"/>
      <c r="C24" s="475"/>
      <c r="D24" s="475"/>
      <c r="E24" s="475"/>
      <c r="F24" s="475"/>
      <c r="G24" s="475"/>
      <c r="H24" s="475"/>
      <c r="I24" s="475"/>
      <c r="J24"/>
      <c r="K24"/>
    </row>
    <row r="25" spans="1:27" ht="12.75" x14ac:dyDescent="0.2">
      <c r="A25" s="161"/>
      <c r="J25"/>
    </row>
    <row r="26" spans="1:27" ht="12.75" x14ac:dyDescent="0.2">
      <c r="A26"/>
    </row>
    <row r="27" spans="1:27" ht="12.75" thickBot="1" x14ac:dyDescent="0.25"/>
    <row r="28" spans="1:27" ht="18" customHeight="1" thickTop="1" thickBot="1" x14ac:dyDescent="0.25">
      <c r="A28" s="255" t="s">
        <v>190</v>
      </c>
      <c r="B28" s="256"/>
      <c r="C28" s="631" t="s">
        <v>181</v>
      </c>
      <c r="D28" s="632"/>
      <c r="E28" s="633" t="s">
        <v>1</v>
      </c>
      <c r="F28" s="634"/>
      <c r="G28" s="634"/>
      <c r="H28" s="634"/>
      <c r="I28" s="634"/>
      <c r="J28" s="635"/>
      <c r="K28" s="636" t="s">
        <v>281</v>
      </c>
      <c r="L28" s="636" t="s">
        <v>192</v>
      </c>
    </row>
    <row r="29" spans="1:27" ht="14.25" customHeight="1" thickTop="1" thickBot="1" x14ac:dyDescent="0.25">
      <c r="A29" s="253" t="s">
        <v>193</v>
      </c>
      <c r="B29" s="254"/>
      <c r="C29" s="476">
        <v>2022</v>
      </c>
      <c r="D29" s="477" t="s">
        <v>194</v>
      </c>
      <c r="E29" s="476">
        <f>E7</f>
        <v>2023</v>
      </c>
      <c r="F29" s="476" t="s">
        <v>195</v>
      </c>
      <c r="G29" s="476" t="s">
        <v>196</v>
      </c>
      <c r="H29" s="476" t="s">
        <v>224</v>
      </c>
      <c r="I29" s="476" t="s">
        <v>242</v>
      </c>
      <c r="J29" s="476" t="s">
        <v>277</v>
      </c>
      <c r="K29" s="637"/>
      <c r="L29" s="637"/>
    </row>
    <row r="30" spans="1:27" x14ac:dyDescent="0.2">
      <c r="A30" s="443" t="s">
        <v>182</v>
      </c>
      <c r="B30" s="238" t="s">
        <v>279</v>
      </c>
      <c r="C30" s="478">
        <f>D8</f>
        <v>180995.44200000001</v>
      </c>
      <c r="D30" s="479">
        <f t="shared" ref="D30:D45" si="8">D8/C8-1</f>
        <v>9.4750005030835638E-2</v>
      </c>
      <c r="E30" s="478">
        <f>E8</f>
        <v>186787.29614400002</v>
      </c>
      <c r="F30" s="479">
        <f>(E8/D8)-1</f>
        <v>3.2000000000000028E-2</v>
      </c>
      <c r="G30" s="479">
        <f t="shared" ref="G30:I31" si="9">(F8/E8)-1</f>
        <v>2.0000000000000018E-2</v>
      </c>
      <c r="H30" s="479">
        <f t="shared" si="9"/>
        <v>2.2162992831443962E-2</v>
      </c>
      <c r="I30" s="479">
        <f t="shared" si="9"/>
        <v>2.2162992831443962E-2</v>
      </c>
      <c r="J30" s="479">
        <f>(I8/H8)-1</f>
        <v>2.2162992831443962E-2</v>
      </c>
      <c r="K30" s="286">
        <f t="shared" ref="K30:K45" si="10">(I8/D8)^(1/5)-1</f>
        <v>2.3689068861161733E-2</v>
      </c>
      <c r="L30" s="287">
        <f t="shared" ref="L30:L45" si="11">(C30/$C$43)*K30*100</f>
        <v>0.29665936809108989</v>
      </c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</row>
    <row r="31" spans="1:27" x14ac:dyDescent="0.2">
      <c r="A31" s="444"/>
      <c r="B31" s="238" t="s">
        <v>280</v>
      </c>
      <c r="C31" s="478">
        <f>D9</f>
        <v>111480.122</v>
      </c>
      <c r="D31" s="479">
        <f t="shared" si="8"/>
        <v>0.10242786727324926</v>
      </c>
      <c r="E31" s="478">
        <f>E9</f>
        <v>113932.68468400001</v>
      </c>
      <c r="F31" s="479">
        <f>(E9/D9)-1</f>
        <v>2.200000000000002E-2</v>
      </c>
      <c r="G31" s="479">
        <f t="shared" si="9"/>
        <v>2.200000000000002E-2</v>
      </c>
      <c r="H31" s="479">
        <f t="shared" si="9"/>
        <v>2.2985601892186125E-2</v>
      </c>
      <c r="I31" s="479">
        <f t="shared" si="9"/>
        <v>2.2985601892186125E-2</v>
      </c>
      <c r="J31" s="479">
        <f>(I9/H9)-1</f>
        <v>2.2985601892186125E-2</v>
      </c>
      <c r="K31" s="286">
        <f t="shared" si="10"/>
        <v>2.2591247126603875E-2</v>
      </c>
      <c r="L31" s="287">
        <f t="shared" si="11"/>
        <v>0.17425292642229562</v>
      </c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</row>
    <row r="32" spans="1:27" ht="12.75" thickBot="1" x14ac:dyDescent="0.25">
      <c r="A32" s="444"/>
      <c r="B32" s="239" t="s">
        <v>183</v>
      </c>
      <c r="C32" s="478">
        <f>D10</f>
        <v>358389.353</v>
      </c>
      <c r="D32" s="479">
        <f t="shared" si="8"/>
        <v>3.7605633143039663E-2</v>
      </c>
      <c r="E32" s="478">
        <f>E10</f>
        <v>370932.98035499995</v>
      </c>
      <c r="F32" s="479">
        <f t="shared" ref="F32:J45" si="12">E10/D10-1</f>
        <v>3.499999999999992E-2</v>
      </c>
      <c r="G32" s="479">
        <f t="shared" si="12"/>
        <v>6.2903866668615471E-3</v>
      </c>
      <c r="H32" s="479">
        <f t="shared" si="12"/>
        <v>1.7817978735161777E-3</v>
      </c>
      <c r="I32" s="479">
        <f t="shared" si="12"/>
        <v>1.7817978735161777E-3</v>
      </c>
      <c r="J32" s="481">
        <f t="shared" si="12"/>
        <v>1.7817978735161777E-3</v>
      </c>
      <c r="K32" s="286">
        <f t="shared" si="10"/>
        <v>9.2450233582015429E-3</v>
      </c>
      <c r="L32" s="287">
        <f t="shared" si="11"/>
        <v>0.22924799747241548</v>
      </c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</row>
    <row r="33" spans="1:27" ht="12.75" thickBot="1" x14ac:dyDescent="0.25">
      <c r="A33" s="445"/>
      <c r="B33" s="240" t="s">
        <v>184</v>
      </c>
      <c r="C33" s="290">
        <f>C30+C32+C31</f>
        <v>650864.91700000002</v>
      </c>
      <c r="D33" s="291">
        <f t="shared" si="8"/>
        <v>6.3760079187894725E-2</v>
      </c>
      <c r="E33" s="290">
        <f>E30+E32+E31</f>
        <v>671652.96118299989</v>
      </c>
      <c r="F33" s="291">
        <f t="shared" si="12"/>
        <v>3.1939106932997952E-2</v>
      </c>
      <c r="G33" s="292">
        <f t="shared" si="12"/>
        <v>1.2767868758812861E-2</v>
      </c>
      <c r="H33" s="292">
        <f t="shared" si="12"/>
        <v>1.111989671153446E-2</v>
      </c>
      <c r="I33" s="292">
        <f t="shared" si="12"/>
        <v>1.1224837046573954E-2</v>
      </c>
      <c r="J33" s="293">
        <f t="shared" si="12"/>
        <v>1.1329967187373668E-2</v>
      </c>
      <c r="K33" s="294">
        <f t="shared" si="10"/>
        <v>1.5643864306345678E-2</v>
      </c>
      <c r="L33" s="482">
        <f t="shared" si="11"/>
        <v>0.70449406990429875</v>
      </c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</row>
    <row r="34" spans="1:27" x14ac:dyDescent="0.2">
      <c r="A34" s="443" t="s">
        <v>185</v>
      </c>
      <c r="B34" s="238" t="s">
        <v>280</v>
      </c>
      <c r="C34" s="478">
        <f>D12</f>
        <v>35724.197</v>
      </c>
      <c r="D34" s="479">
        <f t="shared" si="8"/>
        <v>4.5170703983420157E-2</v>
      </c>
      <c r="E34" s="478">
        <f>E12</f>
        <v>35545.576014999999</v>
      </c>
      <c r="F34" s="479">
        <f t="shared" si="12"/>
        <v>-5.0000000000000044E-3</v>
      </c>
      <c r="G34" s="479">
        <f t="shared" si="12"/>
        <v>-8.1531919449177259E-2</v>
      </c>
      <c r="H34" s="479">
        <f t="shared" si="12"/>
        <v>4.4965063934154115E-2</v>
      </c>
      <c r="I34" s="479">
        <f t="shared" si="12"/>
        <v>4.4965063934154115E-2</v>
      </c>
      <c r="J34" s="481">
        <f t="shared" si="12"/>
        <v>4.4965063934154115E-2</v>
      </c>
      <c r="K34" s="286">
        <f t="shared" si="10"/>
        <v>8.4131313738036173E-3</v>
      </c>
      <c r="L34" s="287">
        <f t="shared" si="11"/>
        <v>2.0795175262282275E-2</v>
      </c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</row>
    <row r="35" spans="1:27" ht="12.75" thickBot="1" x14ac:dyDescent="0.25">
      <c r="A35" s="444"/>
      <c r="B35" s="239" t="s">
        <v>183</v>
      </c>
      <c r="C35" s="483">
        <f>D13</f>
        <v>206989.00899999999</v>
      </c>
      <c r="D35" s="479">
        <f t="shared" si="8"/>
        <v>1.8302805150600898E-2</v>
      </c>
      <c r="E35" s="483">
        <f>E13</f>
        <v>210541.52418729346</v>
      </c>
      <c r="F35" s="479">
        <f t="shared" si="12"/>
        <v>1.7162820405084656E-2</v>
      </c>
      <c r="G35" s="479">
        <f t="shared" si="12"/>
        <v>9.0273854283371424E-3</v>
      </c>
      <c r="H35" s="479">
        <f t="shared" si="12"/>
        <v>7.7382515089952086E-4</v>
      </c>
      <c r="I35" s="479">
        <f t="shared" si="12"/>
        <v>7.7382515089952086E-4</v>
      </c>
      <c r="J35" s="481">
        <f t="shared" si="12"/>
        <v>7.7382515089952086E-4</v>
      </c>
      <c r="K35" s="286">
        <f t="shared" si="10"/>
        <v>5.6810086423046968E-3</v>
      </c>
      <c r="L35" s="287">
        <f t="shared" si="11"/>
        <v>8.1360793204257723E-2</v>
      </c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</row>
    <row r="36" spans="1:27" ht="12.75" thickBot="1" x14ac:dyDescent="0.25">
      <c r="A36" s="445"/>
      <c r="B36" s="240" t="s">
        <v>184</v>
      </c>
      <c r="C36" s="298">
        <f>C34+C35</f>
        <v>242713.20600000001</v>
      </c>
      <c r="D36" s="291">
        <f t="shared" si="8"/>
        <v>2.2170380980623294E-2</v>
      </c>
      <c r="E36" s="298">
        <f>E34+E35</f>
        <v>246087.10020229346</v>
      </c>
      <c r="F36" s="291">
        <f t="shared" si="12"/>
        <v>1.3900744248310337E-2</v>
      </c>
      <c r="G36" s="292">
        <f t="shared" si="12"/>
        <v>-4.053278502210711E-3</v>
      </c>
      <c r="H36" s="292">
        <f t="shared" si="12"/>
        <v>6.6603752589802223E-3</v>
      </c>
      <c r="I36" s="292">
        <f t="shared" si="12"/>
        <v>6.8843658667390173E-3</v>
      </c>
      <c r="J36" s="293">
        <f t="shared" si="12"/>
        <v>7.1154685274981144E-3</v>
      </c>
      <c r="K36" s="294">
        <f t="shared" si="10"/>
        <v>6.08500740046658E-3</v>
      </c>
      <c r="L36" s="482">
        <f t="shared" si="11"/>
        <v>0.10218730753701773</v>
      </c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</row>
    <row r="37" spans="1:27" x14ac:dyDescent="0.2">
      <c r="A37" s="443" t="s">
        <v>187</v>
      </c>
      <c r="B37" s="238" t="s">
        <v>280</v>
      </c>
      <c r="C37" s="478">
        <f>D15</f>
        <v>41011.483</v>
      </c>
      <c r="D37" s="479">
        <f t="shared" si="8"/>
        <v>8.1615329993888874E-2</v>
      </c>
      <c r="E37" s="478">
        <f>E15</f>
        <v>41220.641563300007</v>
      </c>
      <c r="F37" s="479">
        <f t="shared" si="12"/>
        <v>5.1000000000001044E-3</v>
      </c>
      <c r="G37" s="479">
        <f t="shared" si="12"/>
        <v>3.9984111584704385E-2</v>
      </c>
      <c r="H37" s="479">
        <f t="shared" si="12"/>
        <v>4.0000000000000036E-2</v>
      </c>
      <c r="I37" s="479">
        <f t="shared" si="12"/>
        <v>4.0000000000000036E-2</v>
      </c>
      <c r="J37" s="481">
        <f t="shared" si="12"/>
        <v>4.0000000000000036E-2</v>
      </c>
      <c r="K37" s="286">
        <f t="shared" si="10"/>
        <v>3.2921218890595849E-2</v>
      </c>
      <c r="L37" s="287">
        <f t="shared" si="11"/>
        <v>9.341654889365901E-2</v>
      </c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</row>
    <row r="38" spans="1:27" ht="12.75" thickBot="1" x14ac:dyDescent="0.25">
      <c r="A38" s="444"/>
      <c r="B38" s="239" t="s">
        <v>183</v>
      </c>
      <c r="C38" s="483">
        <f>D16</f>
        <v>301625.63799999998</v>
      </c>
      <c r="D38" s="479">
        <f t="shared" si="8"/>
        <v>1.024925975890012E-2</v>
      </c>
      <c r="E38" s="483">
        <f>E16</f>
        <v>306150.02256999997</v>
      </c>
      <c r="F38" s="479">
        <f t="shared" si="12"/>
        <v>1.4999999999999902E-2</v>
      </c>
      <c r="G38" s="479">
        <f t="shared" si="12"/>
        <v>1.6148507363163978E-2</v>
      </c>
      <c r="H38" s="479">
        <f t="shared" si="12"/>
        <v>4.9999999999998934E-3</v>
      </c>
      <c r="I38" s="479">
        <f t="shared" si="12"/>
        <v>4.9999999999998934E-3</v>
      </c>
      <c r="J38" s="481">
        <f t="shared" si="12"/>
        <v>4.9999999999998934E-3</v>
      </c>
      <c r="K38" s="286">
        <f t="shared" si="10"/>
        <v>9.2163603227068958E-3</v>
      </c>
      <c r="L38" s="287">
        <f t="shared" si="11"/>
        <v>0.19234023302099054</v>
      </c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</row>
    <row r="39" spans="1:27" ht="12.75" thickBot="1" x14ac:dyDescent="0.25">
      <c r="A39" s="445"/>
      <c r="B39" s="240" t="s">
        <v>184</v>
      </c>
      <c r="C39" s="298">
        <f>C37+C38</f>
        <v>342637.12099999998</v>
      </c>
      <c r="D39" s="291">
        <f t="shared" si="8"/>
        <v>1.8291221646670852E-2</v>
      </c>
      <c r="E39" s="298">
        <f>E37+E38</f>
        <v>347370.66413329996</v>
      </c>
      <c r="F39" s="291">
        <f t="shared" si="12"/>
        <v>1.3815032999007659E-2</v>
      </c>
      <c r="G39" s="292">
        <f t="shared" si="12"/>
        <v>1.8976952593311003E-2</v>
      </c>
      <c r="H39" s="292">
        <f t="shared" si="12"/>
        <v>9.2388885244514274E-3</v>
      </c>
      <c r="I39" s="292">
        <f t="shared" si="12"/>
        <v>9.3680877892792225E-3</v>
      </c>
      <c r="J39" s="293">
        <f t="shared" si="12"/>
        <v>9.5006488275255485E-3</v>
      </c>
      <c r="K39" s="294">
        <f t="shared" si="10"/>
        <v>1.2172765015841636E-2</v>
      </c>
      <c r="L39" s="482">
        <f t="shared" si="11"/>
        <v>0.28857990720793841</v>
      </c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</row>
    <row r="40" spans="1:27" x14ac:dyDescent="0.2">
      <c r="A40" s="443" t="s">
        <v>188</v>
      </c>
      <c r="B40" s="238" t="s">
        <v>280</v>
      </c>
      <c r="C40" s="478">
        <f>D18</f>
        <v>60297.201999999997</v>
      </c>
      <c r="D40" s="479">
        <f t="shared" si="8"/>
        <v>6.4254402422899037E-2</v>
      </c>
      <c r="E40" s="478">
        <f>E18</f>
        <v>60604.717730200005</v>
      </c>
      <c r="F40" s="479">
        <f t="shared" si="12"/>
        <v>5.1000000000001044E-3</v>
      </c>
      <c r="G40" s="479">
        <f t="shared" si="12"/>
        <v>-3.4237670877551807E-2</v>
      </c>
      <c r="H40" s="479">
        <f t="shared" si="12"/>
        <v>2.0000000000000018E-2</v>
      </c>
      <c r="I40" s="479">
        <f t="shared" si="12"/>
        <v>2.0000000000000018E-2</v>
      </c>
      <c r="J40" s="481">
        <f t="shared" si="12"/>
        <v>2.0000000000000018E-2</v>
      </c>
      <c r="K40" s="286">
        <f t="shared" si="10"/>
        <v>5.9491080295526189E-3</v>
      </c>
      <c r="L40" s="287">
        <f t="shared" si="11"/>
        <v>2.4819410030781818E-2</v>
      </c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</row>
    <row r="41" spans="1:27" ht="12.75" thickBot="1" x14ac:dyDescent="0.25">
      <c r="A41" s="444"/>
      <c r="B41" s="239" t="s">
        <v>183</v>
      </c>
      <c r="C41" s="483">
        <f>D19</f>
        <v>148786.08499999999</v>
      </c>
      <c r="D41" s="479">
        <f t="shared" si="8"/>
        <v>8.2672662963841681E-2</v>
      </c>
      <c r="E41" s="483">
        <f>E19</f>
        <v>152803.30929499998</v>
      </c>
      <c r="F41" s="479">
        <f t="shared" si="12"/>
        <v>2.6999999999999913E-2</v>
      </c>
      <c r="G41" s="479">
        <f t="shared" si="12"/>
        <v>8.2127211157011049E-2</v>
      </c>
      <c r="H41" s="479">
        <f t="shared" si="12"/>
        <v>4.9999999999998934E-3</v>
      </c>
      <c r="I41" s="479">
        <f t="shared" si="12"/>
        <v>4.9999999999998934E-3</v>
      </c>
      <c r="J41" s="481">
        <f t="shared" si="12"/>
        <v>4.9999999999998934E-3</v>
      </c>
      <c r="K41" s="286">
        <f t="shared" si="10"/>
        <v>2.4399574395122858E-2</v>
      </c>
      <c r="L41" s="287">
        <f t="shared" si="11"/>
        <v>0.25118112777744001</v>
      </c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</row>
    <row r="42" spans="1:27" ht="12.75" thickBot="1" x14ac:dyDescent="0.25">
      <c r="A42" s="445"/>
      <c r="B42" s="240" t="s">
        <v>184</v>
      </c>
      <c r="C42" s="298">
        <f>C40+C41</f>
        <v>209083.28699999998</v>
      </c>
      <c r="D42" s="291">
        <f t="shared" si="8"/>
        <v>7.7295960194385449E-2</v>
      </c>
      <c r="E42" s="298">
        <f>E40+E41</f>
        <v>213408.02702519999</v>
      </c>
      <c r="F42" s="291">
        <f t="shared" si="12"/>
        <v>2.0684293265391451E-2</v>
      </c>
      <c r="G42" s="292">
        <f t="shared" si="12"/>
        <v>4.908130877124961E-2</v>
      </c>
      <c r="H42" s="292">
        <f t="shared" si="12"/>
        <v>8.9214623789648506E-3</v>
      </c>
      <c r="I42" s="292">
        <f t="shared" si="12"/>
        <v>8.9645222900824884E-3</v>
      </c>
      <c r="J42" s="293">
        <f t="shared" si="12"/>
        <v>9.0078839706930758E-3</v>
      </c>
      <c r="K42" s="294">
        <f t="shared" si="10"/>
        <v>1.9214701418756697E-2</v>
      </c>
      <c r="L42" s="482">
        <f t="shared" si="11"/>
        <v>0.27796838128504359</v>
      </c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</row>
    <row r="43" spans="1:27" ht="12.75" thickBot="1" x14ac:dyDescent="0.25">
      <c r="A43" s="484" t="s">
        <v>189</v>
      </c>
      <c r="B43" s="485"/>
      <c r="C43" s="300">
        <f>C33+C36+C39+C42</f>
        <v>1445298.531</v>
      </c>
      <c r="D43" s="301">
        <f t="shared" si="8"/>
        <v>4.7419482036661575E-2</v>
      </c>
      <c r="E43" s="300">
        <f>E33+E36+E39+E42</f>
        <v>1478518.7525437933</v>
      </c>
      <c r="F43" s="301">
        <f>E21/D21-1</f>
        <v>2.2985024084130501E-2</v>
      </c>
      <c r="G43" s="301">
        <f t="shared" si="12"/>
        <v>1.6668371069884724E-2</v>
      </c>
      <c r="H43" s="301">
        <f t="shared" si="12"/>
        <v>9.6224013866459401E-3</v>
      </c>
      <c r="I43" s="301">
        <f t="shared" si="12"/>
        <v>9.7457248015317965E-3</v>
      </c>
      <c r="J43" s="302">
        <f>I21/H21-1</f>
        <v>9.8709678653232658E-3</v>
      </c>
      <c r="K43" s="486">
        <f t="shared" si="10"/>
        <v>1.3764538170844443E-2</v>
      </c>
      <c r="L43" s="295">
        <f t="shared" si="11"/>
        <v>1.3764538170844443</v>
      </c>
      <c r="M43" s="241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</row>
    <row r="44" spans="1:27" ht="12.75" x14ac:dyDescent="0.2">
      <c r="A44" s="267"/>
      <c r="B44" s="273" t="s">
        <v>222</v>
      </c>
      <c r="C44" s="274">
        <f>C30+C34+C37+C40+C31</f>
        <v>429508.446</v>
      </c>
      <c r="D44" s="275">
        <f t="shared" si="8"/>
        <v>8.6794579274426242E-2</v>
      </c>
      <c r="E44" s="274">
        <f>E30+E31+E34+E37+E40</f>
        <v>438090.91613649996</v>
      </c>
      <c r="F44" s="275">
        <f>E22/D22-1</f>
        <v>1.9982075361796081E-2</v>
      </c>
      <c r="G44" s="275">
        <f t="shared" si="12"/>
        <v>6.6592850721791663E-3</v>
      </c>
      <c r="H44" s="275">
        <f t="shared" si="12"/>
        <v>2.5515006726387846E-2</v>
      </c>
      <c r="I44" s="275">
        <f t="shared" si="12"/>
        <v>2.5572520240330743E-2</v>
      </c>
      <c r="J44" s="276">
        <f>I22/H22-1</f>
        <v>2.5630785409914036E-2</v>
      </c>
      <c r="K44" s="271">
        <f t="shared" si="10"/>
        <v>2.0645434939231544E-2</v>
      </c>
      <c r="L44" s="272">
        <f t="shared" si="11"/>
        <v>0.61353336266163028</v>
      </c>
      <c r="M44" s="241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</row>
    <row r="45" spans="1:27" ht="13.5" thickBot="1" x14ac:dyDescent="0.25">
      <c r="A45" s="269"/>
      <c r="B45" s="279" t="s">
        <v>223</v>
      </c>
      <c r="C45" s="280">
        <f>C32+C35+C38+C41</f>
        <v>1015790.085</v>
      </c>
      <c r="D45" s="281">
        <f t="shared" si="8"/>
        <v>3.1615742065127073E-2</v>
      </c>
      <c r="E45" s="280">
        <f>E32+E35+E38+E41</f>
        <v>1040427.8364072933</v>
      </c>
      <c r="F45" s="281">
        <f>E23/D23-1</f>
        <v>2.4254766581319087E-2</v>
      </c>
      <c r="G45" s="281">
        <f t="shared" si="12"/>
        <v>2.0882877353727736E-2</v>
      </c>
      <c r="H45" s="281">
        <f t="shared" si="12"/>
        <v>3.0237684924381281E-3</v>
      </c>
      <c r="I45" s="281">
        <f t="shared" si="12"/>
        <v>3.0270649647341497E-3</v>
      </c>
      <c r="J45" s="282">
        <f t="shared" si="12"/>
        <v>3.0303619230811485E-3</v>
      </c>
      <c r="K45" s="277">
        <f t="shared" si="10"/>
        <v>1.0797999791513524E-2</v>
      </c>
      <c r="L45" s="278">
        <f t="shared" si="11"/>
        <v>0.7589090344167454</v>
      </c>
      <c r="M45" s="241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</row>
    <row r="46" spans="1:27" x14ac:dyDescent="0.2"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</row>
    <row r="47" spans="1:27" ht="12.75" x14ac:dyDescent="0.2">
      <c r="A47" s="230" t="s">
        <v>197</v>
      </c>
    </row>
    <row r="50" spans="1:19" ht="13.5" thickBot="1" x14ac:dyDescent="0.25">
      <c r="A50" s="452"/>
      <c r="J50"/>
      <c r="K50"/>
      <c r="L50"/>
      <c r="M50"/>
    </row>
    <row r="51" spans="1:19" ht="13.5" customHeight="1" thickTop="1" thickBot="1" x14ac:dyDescent="0.25">
      <c r="A51" s="638" t="s">
        <v>198</v>
      </c>
      <c r="B51" s="441"/>
      <c r="C51" s="440" t="s">
        <v>181</v>
      </c>
      <c r="D51" s="440" t="s">
        <v>181</v>
      </c>
      <c r="E51" s="640" t="s">
        <v>1</v>
      </c>
      <c r="F51" s="641"/>
      <c r="G51" s="641"/>
      <c r="H51" s="641"/>
      <c r="I51" s="642"/>
      <c r="J51"/>
      <c r="K51"/>
      <c r="L51"/>
      <c r="M51"/>
    </row>
    <row r="52" spans="1:19" ht="12.75" customHeight="1" thickBot="1" x14ac:dyDescent="0.25">
      <c r="A52" s="639"/>
      <c r="B52" s="442"/>
      <c r="C52" s="232">
        <v>2021</v>
      </c>
      <c r="D52" s="232">
        <v>2022</v>
      </c>
      <c r="E52" s="232">
        <v>2023</v>
      </c>
      <c r="F52" s="232">
        <f t="shared" ref="F52:I52" si="13">E52+1</f>
        <v>2024</v>
      </c>
      <c r="G52" s="232">
        <f t="shared" si="13"/>
        <v>2025</v>
      </c>
      <c r="H52" s="232">
        <f>G52+1</f>
        <v>2026</v>
      </c>
      <c r="I52" s="232">
        <f t="shared" si="13"/>
        <v>2027</v>
      </c>
      <c r="J52"/>
      <c r="K52"/>
      <c r="L52"/>
      <c r="M52"/>
    </row>
    <row r="53" spans="1:19" ht="12" customHeight="1" x14ac:dyDescent="0.2">
      <c r="A53" s="628" t="s">
        <v>182</v>
      </c>
      <c r="B53" s="234" t="s">
        <v>279</v>
      </c>
      <c r="C53" s="487">
        <v>12.38572868091827</v>
      </c>
      <c r="D53" s="487">
        <v>12.760012215278241</v>
      </c>
      <c r="E53" s="487">
        <v>13.370845548611573</v>
      </c>
      <c r="F53" s="487">
        <v>13.711365653506679</v>
      </c>
      <c r="G53" s="487">
        <v>13.911671597562625</v>
      </c>
      <c r="H53" s="487">
        <v>14.142023433226962</v>
      </c>
      <c r="I53" s="488">
        <v>14.372375268891297</v>
      </c>
      <c r="J53"/>
      <c r="K53" s="120"/>
      <c r="L53" s="120"/>
      <c r="M53" s="120"/>
      <c r="N53" s="120"/>
      <c r="O53" s="120"/>
      <c r="P53" s="120"/>
      <c r="Q53" s="120"/>
    </row>
    <row r="54" spans="1:19" ht="12" customHeight="1" x14ac:dyDescent="0.2">
      <c r="A54" s="629"/>
      <c r="B54" s="234" t="s">
        <v>225</v>
      </c>
      <c r="C54" s="487">
        <v>10.515271477697352</v>
      </c>
      <c r="D54" s="487">
        <v>10.647237807671496</v>
      </c>
      <c r="E54" s="487">
        <v>11.258071141004828</v>
      </c>
      <c r="F54" s="487">
        <v>11.598591245899934</v>
      </c>
      <c r="G54" s="487">
        <v>11.798897189955881</v>
      </c>
      <c r="H54" s="487">
        <v>12.029249025620217</v>
      </c>
      <c r="I54" s="488">
        <v>12.259600861284552</v>
      </c>
      <c r="J54"/>
      <c r="K54" s="120"/>
      <c r="L54" s="120"/>
      <c r="M54" s="120"/>
      <c r="N54" s="120"/>
      <c r="O54" s="120"/>
      <c r="P54" s="120"/>
      <c r="Q54" s="120"/>
    </row>
    <row r="55" spans="1:19" ht="12" customHeight="1" x14ac:dyDescent="0.2">
      <c r="A55" s="629"/>
      <c r="B55" s="234" t="s">
        <v>183</v>
      </c>
      <c r="C55" s="489">
        <v>15.300901221579997</v>
      </c>
      <c r="D55" s="489">
        <v>15.559446067502607</v>
      </c>
      <c r="E55" s="489">
        <v>16.170279400835938</v>
      </c>
      <c r="F55" s="489">
        <v>16.510799505731043</v>
      </c>
      <c r="G55" s="489">
        <v>16.711105449786992</v>
      </c>
      <c r="H55" s="489">
        <v>16.941457285451328</v>
      </c>
      <c r="I55" s="490">
        <v>17.171809121115665</v>
      </c>
      <c r="J55"/>
      <c r="K55" s="120"/>
      <c r="L55" s="120"/>
      <c r="M55" s="120"/>
      <c r="N55" s="120"/>
      <c r="O55" s="120"/>
      <c r="P55" s="120"/>
      <c r="Q55" s="120"/>
    </row>
    <row r="56" spans="1:19" ht="12.75" customHeight="1" thickBot="1" x14ac:dyDescent="0.25">
      <c r="A56" s="630"/>
      <c r="B56" s="236" t="s">
        <v>184</v>
      </c>
      <c r="C56" s="491">
        <v>13.722252983597549</v>
      </c>
      <c r="D56" s="491">
        <v>13.977375550518527</v>
      </c>
      <c r="E56" s="491">
        <v>14.588208883851859</v>
      </c>
      <c r="F56" s="491">
        <v>14.928728988746965</v>
      </c>
      <c r="G56" s="491">
        <v>15.129034932802911</v>
      </c>
      <c r="H56" s="491">
        <v>15.359386768467248</v>
      </c>
      <c r="I56" s="492">
        <v>15.589738604131583</v>
      </c>
      <c r="J56"/>
      <c r="K56" s="120"/>
      <c r="L56" s="120"/>
      <c r="M56" s="120"/>
      <c r="N56" s="120"/>
      <c r="O56" s="120"/>
      <c r="P56" s="120"/>
      <c r="Q56" s="120"/>
    </row>
    <row r="57" spans="1:19" ht="12.75" x14ac:dyDescent="0.2">
      <c r="A57" s="628" t="s">
        <v>185</v>
      </c>
      <c r="B57" s="233" t="s">
        <v>186</v>
      </c>
      <c r="C57" s="493">
        <v>13.475052006367067</v>
      </c>
      <c r="D57" s="493">
        <v>13.732756075947883</v>
      </c>
      <c r="E57" s="493">
        <v>14.343589409281215</v>
      </c>
      <c r="F57" s="493">
        <v>14.68410951417632</v>
      </c>
      <c r="G57" s="493">
        <v>14.884415458232267</v>
      </c>
      <c r="H57" s="493">
        <v>15.114767293896604</v>
      </c>
      <c r="I57" s="494">
        <v>15.345119129560938</v>
      </c>
      <c r="J57"/>
      <c r="K57" s="120"/>
      <c r="L57" s="120"/>
      <c r="M57" s="120"/>
      <c r="N57" s="120"/>
      <c r="O57" s="120"/>
      <c r="P57" s="120"/>
      <c r="Q57" s="120"/>
    </row>
    <row r="58" spans="1:19" ht="12" customHeight="1" x14ac:dyDescent="0.2">
      <c r="A58" s="629"/>
      <c r="B58" s="234" t="s">
        <v>183</v>
      </c>
      <c r="C58" s="495">
        <v>20.480323658776172</v>
      </c>
      <c r="D58" s="495">
        <v>20.752714454969905</v>
      </c>
      <c r="E58" s="495">
        <v>21.363547788303237</v>
      </c>
      <c r="F58" s="495">
        <v>21.704067893198342</v>
      </c>
      <c r="G58" s="495">
        <v>21.90437383725429</v>
      </c>
      <c r="H58" s="495">
        <v>22.134725672918627</v>
      </c>
      <c r="I58" s="496">
        <v>22.365077508582964</v>
      </c>
      <c r="J58"/>
      <c r="K58" s="120"/>
      <c r="L58" s="120"/>
      <c r="M58" s="120"/>
      <c r="N58" s="120"/>
      <c r="O58" s="120"/>
      <c r="P58" s="120"/>
      <c r="Q58" s="120"/>
    </row>
    <row r="59" spans="1:19" ht="12.75" customHeight="1" thickBot="1" x14ac:dyDescent="0.25">
      <c r="A59" s="630"/>
      <c r="B59" s="236" t="s">
        <v>184</v>
      </c>
      <c r="C59" s="491">
        <v>19.471929980722649</v>
      </c>
      <c r="D59" s="491">
        <v>19.740587090400457</v>
      </c>
      <c r="E59" s="491">
        <v>20.351420423733789</v>
      </c>
      <c r="F59" s="491">
        <v>20.691940528628894</v>
      </c>
      <c r="G59" s="491">
        <v>20.892246472684839</v>
      </c>
      <c r="H59" s="491">
        <v>21.122598308349176</v>
      </c>
      <c r="I59" s="492">
        <v>21.352950144013512</v>
      </c>
      <c r="J59"/>
      <c r="K59" s="120"/>
      <c r="L59" s="120"/>
      <c r="M59" s="120"/>
      <c r="N59" s="120"/>
      <c r="O59" s="120"/>
      <c r="P59" s="120"/>
      <c r="Q59" s="120"/>
    </row>
    <row r="60" spans="1:19" ht="12.75" x14ac:dyDescent="0.2">
      <c r="A60" s="628" t="s">
        <v>187</v>
      </c>
      <c r="B60" s="233" t="str">
        <f>B57</f>
        <v>Cdd</v>
      </c>
      <c r="C60" s="493">
        <v>14.306132997097885</v>
      </c>
      <c r="D60" s="493">
        <v>14.328874262883144</v>
      </c>
      <c r="E60" s="493">
        <v>14.939707596216476</v>
      </c>
      <c r="F60" s="493">
        <v>15.280227701111581</v>
      </c>
      <c r="G60" s="493">
        <v>15.480533645167528</v>
      </c>
      <c r="H60" s="493">
        <v>15.710885480831864</v>
      </c>
      <c r="I60" s="494">
        <v>15.941237316496199</v>
      </c>
      <c r="J60"/>
      <c r="K60" s="120"/>
      <c r="L60" s="120"/>
      <c r="M60" s="120"/>
      <c r="N60" s="120"/>
      <c r="O60" s="120"/>
      <c r="P60" s="120"/>
      <c r="Q60" s="120"/>
    </row>
    <row r="61" spans="1:19" ht="12" customHeight="1" x14ac:dyDescent="0.2">
      <c r="A61" s="629"/>
      <c r="B61" s="234" t="s">
        <v>183</v>
      </c>
      <c r="C61" s="495">
        <v>23.235125951365635</v>
      </c>
      <c r="D61" s="495">
        <v>23.446963176204445</v>
      </c>
      <c r="E61" s="495">
        <v>24.057796509537777</v>
      </c>
      <c r="F61" s="495">
        <v>24.398316614432883</v>
      </c>
      <c r="G61" s="495">
        <v>24.598622558488827</v>
      </c>
      <c r="H61" s="495">
        <v>24.828974394153164</v>
      </c>
      <c r="I61" s="496">
        <v>25.059326229817501</v>
      </c>
      <c r="J61"/>
      <c r="K61" s="120"/>
      <c r="L61" s="120"/>
      <c r="M61" s="120"/>
      <c r="N61" s="120"/>
      <c r="O61" s="120"/>
      <c r="P61" s="120"/>
      <c r="Q61" s="120"/>
    </row>
    <row r="62" spans="1:19" ht="12.75" customHeight="1" thickBot="1" x14ac:dyDescent="0.25">
      <c r="A62" s="630"/>
      <c r="B62" s="236" t="s">
        <v>184</v>
      </c>
      <c r="C62" s="491">
        <v>22.22895283859711</v>
      </c>
      <c r="D62" s="491">
        <v>22.369105004123757</v>
      </c>
      <c r="E62" s="491">
        <v>22.979938337457089</v>
      </c>
      <c r="F62" s="491">
        <v>23.320458442352194</v>
      </c>
      <c r="G62" s="491">
        <v>23.520764386408139</v>
      </c>
      <c r="H62" s="491">
        <v>23.751116222072476</v>
      </c>
      <c r="I62" s="492">
        <v>23.981468057736812</v>
      </c>
      <c r="J62"/>
      <c r="K62" s="120"/>
      <c r="L62" s="120"/>
      <c r="M62" s="120"/>
      <c r="N62" s="120"/>
      <c r="O62" s="120"/>
      <c r="P62" s="120"/>
      <c r="Q62" s="120"/>
    </row>
    <row r="63" spans="1:19" ht="12.75" x14ac:dyDescent="0.2">
      <c r="A63" s="628" t="s">
        <v>188</v>
      </c>
      <c r="B63" s="234" t="str">
        <f>B60</f>
        <v>Cdd</v>
      </c>
      <c r="C63" s="493">
        <v>9.9385521350678268</v>
      </c>
      <c r="D63" s="493">
        <v>9.6451193125475054</v>
      </c>
      <c r="E63" s="493">
        <v>10.255952645880837</v>
      </c>
      <c r="F63" s="493">
        <v>10.596472750775943</v>
      </c>
      <c r="G63" s="493">
        <v>10.79677869483189</v>
      </c>
      <c r="H63" s="493">
        <v>11.027130530496226</v>
      </c>
      <c r="I63" s="494">
        <v>11.257482366160561</v>
      </c>
      <c r="J63"/>
      <c r="K63" s="120"/>
      <c r="L63" s="120"/>
      <c r="M63" s="120"/>
      <c r="N63" s="120"/>
      <c r="O63" s="120"/>
      <c r="P63" s="120"/>
      <c r="Q63" s="120"/>
    </row>
    <row r="64" spans="1:19" ht="12" customHeight="1" x14ac:dyDescent="0.2">
      <c r="A64" s="629"/>
      <c r="B64" s="237" t="s">
        <v>183</v>
      </c>
      <c r="C64" s="495">
        <v>15.914712906981627</v>
      </c>
      <c r="D64" s="495">
        <v>15.92307047990073</v>
      </c>
      <c r="E64" s="495">
        <v>16.533903813234062</v>
      </c>
      <c r="F64" s="495">
        <v>16.874423918129168</v>
      </c>
      <c r="G64" s="495">
        <v>17.074729862185116</v>
      </c>
      <c r="H64" s="495">
        <v>17.305081697849452</v>
      </c>
      <c r="I64" s="496">
        <v>17.535433533513789</v>
      </c>
      <c r="J64"/>
      <c r="K64" s="120"/>
      <c r="L64" s="120"/>
      <c r="M64" s="120"/>
      <c r="N64" s="120"/>
      <c r="O64" s="120"/>
      <c r="P64" s="120"/>
      <c r="Q64" s="120"/>
      <c r="R64" s="497"/>
      <c r="S64" s="497"/>
    </row>
    <row r="65" spans="1:20" ht="12.75" customHeight="1" thickBot="1" x14ac:dyDescent="0.25">
      <c r="A65" s="630"/>
      <c r="B65" s="236" t="s">
        <v>184</v>
      </c>
      <c r="C65" s="492">
        <v>14.170137728362695</v>
      </c>
      <c r="D65" s="492">
        <v>14.118405413985792</v>
      </c>
      <c r="E65" s="492">
        <v>14.729238747319124</v>
      </c>
      <c r="F65" s="492">
        <v>15.06975885221423</v>
      </c>
      <c r="G65" s="492">
        <v>15.270064796270177</v>
      </c>
      <c r="H65" s="492">
        <v>15.500416631934513</v>
      </c>
      <c r="I65" s="492">
        <v>15.730768467598848</v>
      </c>
      <c r="J65"/>
      <c r="K65" s="120"/>
      <c r="L65" s="120"/>
      <c r="M65" s="120"/>
      <c r="N65" s="120"/>
      <c r="O65" s="120"/>
      <c r="P65" s="120"/>
      <c r="Q65" s="120"/>
      <c r="R65" s="498"/>
      <c r="S65" s="498"/>
    </row>
    <row r="66" spans="1:20" ht="13.5" thickBot="1" x14ac:dyDescent="0.25">
      <c r="A66" s="499" t="s">
        <v>199</v>
      </c>
      <c r="B66" s="500"/>
      <c r="C66" s="501">
        <v>16.849031725939692</v>
      </c>
      <c r="D66" s="501">
        <v>16.974986055393853</v>
      </c>
      <c r="E66" s="501">
        <v>17.585819388727185</v>
      </c>
      <c r="F66" s="501">
        <v>17.92633949362229</v>
      </c>
      <c r="G66" s="501">
        <v>18.126645437678235</v>
      </c>
      <c r="H66" s="501">
        <v>18.356997273342571</v>
      </c>
      <c r="I66" s="501">
        <v>18.587349109006908</v>
      </c>
      <c r="J66"/>
      <c r="K66" s="120"/>
      <c r="L66" s="120"/>
      <c r="M66" s="120"/>
      <c r="N66" s="120"/>
      <c r="O66" s="120"/>
      <c r="P66" s="120"/>
      <c r="Q66" s="120"/>
      <c r="R66" s="120"/>
      <c r="S66" s="502"/>
    </row>
    <row r="67" spans="1:20" ht="12.75" x14ac:dyDescent="0.2">
      <c r="A67" s="473"/>
      <c r="B67" s="503"/>
      <c r="C67" s="502"/>
      <c r="D67" s="502"/>
      <c r="E67" s="502"/>
      <c r="F67" s="502"/>
      <c r="G67" s="502"/>
      <c r="H67" s="502"/>
      <c r="I67" s="502"/>
      <c r="J67"/>
      <c r="K67"/>
      <c r="L67"/>
      <c r="M67"/>
    </row>
    <row r="68" spans="1:20" ht="12.75" x14ac:dyDescent="0.2">
      <c r="B68" s="504"/>
      <c r="C68" s="502"/>
      <c r="D68" s="502"/>
      <c r="E68" s="502"/>
      <c r="F68" s="502"/>
      <c r="G68" s="502"/>
      <c r="H68" s="502"/>
      <c r="I68" s="502"/>
      <c r="J68"/>
      <c r="K68"/>
      <c r="L68"/>
      <c r="M68"/>
    </row>
    <row r="69" spans="1:2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 s="502"/>
      <c r="O69" s="502"/>
      <c r="P69" s="502"/>
      <c r="Q69" s="502"/>
      <c r="R69" s="502"/>
      <c r="S69" s="502"/>
    </row>
    <row r="70" spans="1:20" ht="12.75" x14ac:dyDescent="0.2">
      <c r="J70"/>
      <c r="K70"/>
      <c r="L70"/>
      <c r="M70"/>
    </row>
    <row r="71" spans="1:20" x14ac:dyDescent="0.2">
      <c r="A71" s="452"/>
    </row>
    <row r="72" spans="1:20" ht="12.75" thickBot="1" x14ac:dyDescent="0.25"/>
    <row r="73" spans="1:20" ht="22.5" customHeight="1" thickTop="1" thickBot="1" x14ac:dyDescent="0.25">
      <c r="A73" s="255" t="s">
        <v>200</v>
      </c>
      <c r="B73" s="256"/>
      <c r="C73" s="631" t="s">
        <v>181</v>
      </c>
      <c r="D73" s="632"/>
      <c r="E73" s="633" t="s">
        <v>1</v>
      </c>
      <c r="F73" s="634"/>
      <c r="G73" s="634"/>
      <c r="H73" s="634"/>
      <c r="I73" s="634"/>
      <c r="J73" s="635"/>
      <c r="K73" s="648" t="s">
        <v>191</v>
      </c>
    </row>
    <row r="74" spans="1:20" ht="13.5" thickTop="1" thickBot="1" x14ac:dyDescent="0.25">
      <c r="A74" s="253" t="s">
        <v>201</v>
      </c>
      <c r="B74" s="254"/>
      <c r="C74" s="505">
        <v>2022</v>
      </c>
      <c r="D74" s="477" t="s">
        <v>194</v>
      </c>
      <c r="E74" s="476">
        <v>2023</v>
      </c>
      <c r="F74" s="476" t="s">
        <v>195</v>
      </c>
      <c r="G74" s="476" t="s">
        <v>196</v>
      </c>
      <c r="H74" s="476" t="s">
        <v>224</v>
      </c>
      <c r="I74" s="476" t="s">
        <v>242</v>
      </c>
      <c r="J74" s="476" t="s">
        <v>277</v>
      </c>
      <c r="K74" s="649"/>
    </row>
    <row r="75" spans="1:20" x14ac:dyDescent="0.2">
      <c r="A75" s="506" t="s">
        <v>182</v>
      </c>
      <c r="B75" s="238" t="s">
        <v>279</v>
      </c>
      <c r="C75" s="507">
        <f>D53</f>
        <v>12.760012215278241</v>
      </c>
      <c r="D75" s="285">
        <f t="shared" ref="D75:D87" si="14">D53/C53-1</f>
        <v>3.0218935357158472E-2</v>
      </c>
      <c r="E75" s="507">
        <f>E53</f>
        <v>13.370845548611573</v>
      </c>
      <c r="F75" s="479">
        <f t="shared" ref="F75:J88" si="15">E53/D53-1</f>
        <v>4.7870905060886093E-2</v>
      </c>
      <c r="G75" s="479">
        <f t="shared" si="15"/>
        <v>2.5467357592090734E-2</v>
      </c>
      <c r="H75" s="479">
        <f t="shared" si="15"/>
        <v>1.4608752265659053E-2</v>
      </c>
      <c r="I75" s="479">
        <f t="shared" si="15"/>
        <v>1.6558170889017676E-2</v>
      </c>
      <c r="J75" s="481">
        <f t="shared" si="15"/>
        <v>1.6288463723169722E-2</v>
      </c>
      <c r="K75" s="286">
        <f t="shared" ref="K75:K87" si="16">(I53/D53)^(1/5)-1</f>
        <v>2.4083789505819464E-2</v>
      </c>
      <c r="L75" s="242"/>
      <c r="M75" s="283"/>
      <c r="N75" s="283"/>
      <c r="O75" s="283"/>
      <c r="P75" s="283"/>
      <c r="Q75" s="283"/>
      <c r="R75" s="283"/>
      <c r="S75" s="283"/>
      <c r="T75" s="283"/>
    </row>
    <row r="76" spans="1:20" x14ac:dyDescent="0.2">
      <c r="A76" s="508"/>
      <c r="B76" s="238" t="s">
        <v>225</v>
      </c>
      <c r="C76" s="507">
        <f t="shared" ref="C76:C87" si="17">D54</f>
        <v>10.647237807671496</v>
      </c>
      <c r="D76" s="285">
        <f>D54/C54-1</f>
        <v>1.2549968895624097E-2</v>
      </c>
      <c r="E76" s="507">
        <f>E54</f>
        <v>11.258071141004828</v>
      </c>
      <c r="F76" s="479">
        <f t="shared" si="15"/>
        <v>5.7370122126249257E-2</v>
      </c>
      <c r="G76" s="479">
        <f t="shared" si="15"/>
        <v>3.024675369609664E-2</v>
      </c>
      <c r="H76" s="479">
        <f t="shared" si="15"/>
        <v>1.7269851123234758E-2</v>
      </c>
      <c r="I76" s="479">
        <f t="shared" si="15"/>
        <v>1.9523166610895704E-2</v>
      </c>
      <c r="J76" s="481">
        <f t="shared" si="15"/>
        <v>1.9149311413682257E-2</v>
      </c>
      <c r="K76" s="286">
        <f t="shared" si="16"/>
        <v>2.8603210116525002E-2</v>
      </c>
      <c r="L76" s="242"/>
      <c r="M76" s="283"/>
      <c r="N76" s="283"/>
      <c r="O76" s="283"/>
      <c r="P76" s="283"/>
      <c r="Q76" s="283"/>
      <c r="R76" s="283"/>
      <c r="S76" s="283"/>
      <c r="T76" s="283"/>
    </row>
    <row r="77" spans="1:20" ht="12.75" thickBot="1" x14ac:dyDescent="0.25">
      <c r="A77" s="508"/>
      <c r="B77" s="239" t="s">
        <v>183</v>
      </c>
      <c r="C77" s="507">
        <f t="shared" si="17"/>
        <v>15.559446067502607</v>
      </c>
      <c r="D77" s="285">
        <f t="shared" si="14"/>
        <v>1.6897360631147995E-2</v>
      </c>
      <c r="E77" s="507">
        <f>E55</f>
        <v>16.170279400835938</v>
      </c>
      <c r="F77" s="479">
        <f t="shared" si="15"/>
        <v>3.9258038537060447E-2</v>
      </c>
      <c r="G77" s="479">
        <f t="shared" si="15"/>
        <v>2.1058393392850316E-2</v>
      </c>
      <c r="H77" s="479">
        <f t="shared" si="15"/>
        <v>1.2131813725096752E-2</v>
      </c>
      <c r="I77" s="479">
        <f t="shared" si="15"/>
        <v>1.3784356538021347E-2</v>
      </c>
      <c r="J77" s="481">
        <f t="shared" si="15"/>
        <v>1.3596931585227567E-2</v>
      </c>
      <c r="K77" s="286">
        <f t="shared" si="16"/>
        <v>1.9915951336731963E-2</v>
      </c>
      <c r="L77" s="242"/>
      <c r="M77" s="283"/>
      <c r="N77" s="283"/>
      <c r="O77" s="283"/>
      <c r="P77" s="283"/>
      <c r="Q77" s="283"/>
      <c r="R77" s="283"/>
      <c r="S77" s="283"/>
      <c r="T77" s="283"/>
    </row>
    <row r="78" spans="1:20" ht="12.75" thickBot="1" x14ac:dyDescent="0.25">
      <c r="A78" s="509"/>
      <c r="B78" s="240" t="s">
        <v>184</v>
      </c>
      <c r="C78" s="510">
        <f t="shared" si="17"/>
        <v>13.977375550518527</v>
      </c>
      <c r="D78" s="289">
        <f t="shared" si="14"/>
        <v>1.8591886275958425E-2</v>
      </c>
      <c r="E78" s="511">
        <f>E102/E11</f>
        <v>14.558495016153547</v>
      </c>
      <c r="F78" s="291">
        <f t="shared" si="15"/>
        <v>4.3701575530083803E-2</v>
      </c>
      <c r="G78" s="292">
        <f t="shared" si="15"/>
        <v>2.3342146222764759E-2</v>
      </c>
      <c r="H78" s="292">
        <f t="shared" si="15"/>
        <v>1.3417481435086254E-2</v>
      </c>
      <c r="I78" s="292">
        <f t="shared" si="15"/>
        <v>1.5225811605794171E-2</v>
      </c>
      <c r="J78" s="293">
        <f t="shared" si="15"/>
        <v>1.4997463058697535E-2</v>
      </c>
      <c r="K78" s="294">
        <f t="shared" si="16"/>
        <v>2.2074704145521595E-2</v>
      </c>
      <c r="L78" s="512"/>
      <c r="M78" s="283"/>
      <c r="N78" s="283"/>
      <c r="O78" s="283"/>
      <c r="P78" s="283"/>
      <c r="Q78" s="283"/>
      <c r="R78" s="283"/>
      <c r="S78" s="283"/>
      <c r="T78" s="283"/>
    </row>
    <row r="79" spans="1:20" x14ac:dyDescent="0.2">
      <c r="A79" s="506" t="s">
        <v>185</v>
      </c>
      <c r="B79" s="238" t="s">
        <v>282</v>
      </c>
      <c r="C79" s="507">
        <f t="shared" si="17"/>
        <v>13.732756075947883</v>
      </c>
      <c r="D79" s="285">
        <f t="shared" si="14"/>
        <v>1.9124532466297639E-2</v>
      </c>
      <c r="E79" s="507">
        <f>E57</f>
        <v>14.343589409281215</v>
      </c>
      <c r="F79" s="479">
        <f t="shared" si="15"/>
        <v>4.4480024982251898E-2</v>
      </c>
      <c r="G79" s="479">
        <f t="shared" si="15"/>
        <v>2.3740229532418722E-2</v>
      </c>
      <c r="H79" s="479">
        <f t="shared" si="15"/>
        <v>1.364100042039107E-2</v>
      </c>
      <c r="I79" s="479">
        <f t="shared" si="15"/>
        <v>1.547604179087414E-2</v>
      </c>
      <c r="J79" s="481">
        <f t="shared" si="15"/>
        <v>1.5240184065377749E-2</v>
      </c>
      <c r="K79" s="286">
        <f t="shared" si="16"/>
        <v>2.2451017959128849E-2</v>
      </c>
      <c r="L79" s="242"/>
      <c r="M79" s="283"/>
      <c r="N79" s="283"/>
      <c r="O79" s="283"/>
      <c r="P79" s="283"/>
      <c r="Q79" s="283"/>
      <c r="R79" s="283"/>
      <c r="S79" s="283"/>
      <c r="T79" s="283"/>
    </row>
    <row r="80" spans="1:20" ht="12.75" thickBot="1" x14ac:dyDescent="0.25">
      <c r="A80" s="508"/>
      <c r="B80" s="239" t="s">
        <v>183</v>
      </c>
      <c r="C80" s="507">
        <f t="shared" si="17"/>
        <v>20.752714454969905</v>
      </c>
      <c r="D80" s="285">
        <f t="shared" si="14"/>
        <v>1.3300121654913788E-2</v>
      </c>
      <c r="E80" s="507">
        <f>E58</f>
        <v>21.363547788303237</v>
      </c>
      <c r="F80" s="479">
        <f t="shared" si="15"/>
        <v>2.9433900546299352E-2</v>
      </c>
      <c r="G80" s="479">
        <f t="shared" si="15"/>
        <v>1.5939305038161544E-2</v>
      </c>
      <c r="H80" s="479">
        <f t="shared" si="15"/>
        <v>9.2289586008307278E-3</v>
      </c>
      <c r="I80" s="479">
        <f t="shared" si="15"/>
        <v>1.0516248370111336E-2</v>
      </c>
      <c r="J80" s="481">
        <f t="shared" si="15"/>
        <v>1.0406807794603345E-2</v>
      </c>
      <c r="K80" s="286">
        <f t="shared" si="16"/>
        <v>1.5077261655189522E-2</v>
      </c>
      <c r="L80" s="242"/>
      <c r="M80" s="283"/>
      <c r="N80" s="283"/>
      <c r="O80" s="283"/>
      <c r="P80" s="283"/>
      <c r="Q80" s="283"/>
      <c r="R80" s="283"/>
      <c r="S80" s="283"/>
      <c r="T80" s="283"/>
    </row>
    <row r="81" spans="1:20" ht="12.75" thickBot="1" x14ac:dyDescent="0.25">
      <c r="A81" s="509"/>
      <c r="B81" s="240" t="s">
        <v>184</v>
      </c>
      <c r="C81" s="510">
        <f t="shared" si="17"/>
        <v>19.740587090400457</v>
      </c>
      <c r="D81" s="289">
        <f t="shared" si="14"/>
        <v>1.3797148507814994E-2</v>
      </c>
      <c r="E81" s="511">
        <f>E105/E14</f>
        <v>20.349563455201089</v>
      </c>
      <c r="F81" s="291">
        <f t="shared" si="15"/>
        <v>3.0943017577748311E-2</v>
      </c>
      <c r="G81" s="292">
        <f t="shared" si="15"/>
        <v>1.6732006798797716E-2</v>
      </c>
      <c r="H81" s="292">
        <f t="shared" si="15"/>
        <v>9.6803846782183012E-3</v>
      </c>
      <c r="I81" s="292">
        <f t="shared" si="15"/>
        <v>1.1025709272839856E-2</v>
      </c>
      <c r="J81" s="293">
        <f t="shared" si="15"/>
        <v>1.0905468744973668E-2</v>
      </c>
      <c r="K81" s="294">
        <f t="shared" si="16"/>
        <v>1.5826561187613608E-2</v>
      </c>
      <c r="L81" s="242"/>
      <c r="M81" s="283"/>
      <c r="N81" s="283"/>
      <c r="O81" s="283"/>
      <c r="P81" s="283"/>
      <c r="Q81" s="283"/>
      <c r="R81" s="283"/>
      <c r="S81" s="283"/>
      <c r="T81" s="283"/>
    </row>
    <row r="82" spans="1:20" x14ac:dyDescent="0.2">
      <c r="A82" s="506" t="s">
        <v>187</v>
      </c>
      <c r="B82" s="238" t="str">
        <f>B79</f>
        <v xml:space="preserve">Cdd  </v>
      </c>
      <c r="C82" s="507">
        <f t="shared" si="17"/>
        <v>14.328874262883144</v>
      </c>
      <c r="D82" s="285">
        <f t="shared" si="14"/>
        <v>1.5896165504591941E-3</v>
      </c>
      <c r="E82" s="507">
        <f>E60</f>
        <v>14.939707596216476</v>
      </c>
      <c r="F82" s="479">
        <f t="shared" si="15"/>
        <v>4.2629541032096707E-2</v>
      </c>
      <c r="G82" s="479">
        <f t="shared" si="15"/>
        <v>2.2792956468662195E-2</v>
      </c>
      <c r="H82" s="479">
        <f t="shared" si="15"/>
        <v>1.3108832405774651E-2</v>
      </c>
      <c r="I82" s="479">
        <f t="shared" si="15"/>
        <v>1.4880096574464208E-2</v>
      </c>
      <c r="J82" s="481">
        <f t="shared" si="15"/>
        <v>1.4661925704020806E-2</v>
      </c>
      <c r="K82" s="286">
        <f t="shared" si="16"/>
        <v>2.1555558169312983E-2</v>
      </c>
      <c r="L82" s="242"/>
      <c r="M82" s="283"/>
      <c r="N82" s="283"/>
      <c r="O82" s="283"/>
      <c r="P82" s="283"/>
      <c r="Q82" s="283"/>
      <c r="R82" s="283"/>
      <c r="S82" s="283"/>
      <c r="T82" s="283"/>
    </row>
    <row r="83" spans="1:20" ht="12.75" thickBot="1" x14ac:dyDescent="0.25">
      <c r="A83" s="508"/>
      <c r="B83" s="239" t="s">
        <v>183</v>
      </c>
      <c r="C83" s="507">
        <f t="shared" si="17"/>
        <v>23.446963176204445</v>
      </c>
      <c r="D83" s="285">
        <f t="shared" si="14"/>
        <v>9.1171111050663001E-3</v>
      </c>
      <c r="E83" s="507">
        <f>E61</f>
        <v>24.057796509537777</v>
      </c>
      <c r="F83" s="479">
        <f t="shared" si="15"/>
        <v>2.6051703529489378E-2</v>
      </c>
      <c r="G83" s="479">
        <f t="shared" si="15"/>
        <v>1.415425160654693E-2</v>
      </c>
      <c r="H83" s="479">
        <f t="shared" si="15"/>
        <v>8.209826408165144E-3</v>
      </c>
      <c r="I83" s="479">
        <f t="shared" si="15"/>
        <v>9.3644201059073229E-3</v>
      </c>
      <c r="J83" s="481">
        <f t="shared" si="15"/>
        <v>9.2775413115162575E-3</v>
      </c>
      <c r="K83" s="286">
        <f t="shared" si="16"/>
        <v>1.3389867692879198E-2</v>
      </c>
      <c r="L83" s="242"/>
      <c r="M83" s="283"/>
      <c r="N83" s="283"/>
      <c r="O83" s="283"/>
      <c r="P83" s="283"/>
      <c r="Q83" s="283"/>
      <c r="R83" s="283"/>
      <c r="S83" s="283"/>
      <c r="T83" s="283"/>
    </row>
    <row r="84" spans="1:20" ht="12.75" thickBot="1" x14ac:dyDescent="0.25">
      <c r="A84" s="509"/>
      <c r="B84" s="240" t="s">
        <v>184</v>
      </c>
      <c r="C84" s="510">
        <f t="shared" si="17"/>
        <v>22.369105004123757</v>
      </c>
      <c r="D84" s="289">
        <f t="shared" si="14"/>
        <v>6.3049378234001363E-3</v>
      </c>
      <c r="E84" s="511">
        <f>E108/E17</f>
        <v>22.975801068799907</v>
      </c>
      <c r="F84" s="291">
        <f t="shared" si="15"/>
        <v>2.7307008180288195E-2</v>
      </c>
      <c r="G84" s="292">
        <f t="shared" si="15"/>
        <v>1.4818147024357353E-2</v>
      </c>
      <c r="H84" s="292">
        <f t="shared" si="15"/>
        <v>8.5892798613327326E-3</v>
      </c>
      <c r="I84" s="292">
        <f t="shared" si="15"/>
        <v>9.7935522791703367E-3</v>
      </c>
      <c r="J84" s="293">
        <f t="shared" si="15"/>
        <v>9.6985688382200674E-3</v>
      </c>
      <c r="K84" s="294">
        <f t="shared" si="16"/>
        <v>1.4017456367961145E-2</v>
      </c>
      <c r="L84" s="242"/>
      <c r="M84" s="283"/>
      <c r="N84" s="283"/>
      <c r="O84" s="283"/>
      <c r="P84" s="283"/>
      <c r="Q84" s="283"/>
      <c r="R84" s="283"/>
      <c r="S84" s="283"/>
      <c r="T84" s="283"/>
    </row>
    <row r="85" spans="1:20" x14ac:dyDescent="0.2">
      <c r="A85" s="506" t="s">
        <v>188</v>
      </c>
      <c r="B85" s="238" t="str">
        <f>B82</f>
        <v xml:space="preserve">Cdd  </v>
      </c>
      <c r="C85" s="507">
        <f t="shared" si="17"/>
        <v>9.6451193125475054</v>
      </c>
      <c r="D85" s="285">
        <f t="shared" si="14"/>
        <v>-2.9524705262143125E-2</v>
      </c>
      <c r="E85" s="507">
        <f>E63</f>
        <v>10.255952645880837</v>
      </c>
      <c r="F85" s="479">
        <f t="shared" si="15"/>
        <v>6.3330821894415301E-2</v>
      </c>
      <c r="G85" s="479">
        <f t="shared" si="15"/>
        <v>3.3202191610339771E-2</v>
      </c>
      <c r="H85" s="479">
        <f t="shared" si="15"/>
        <v>1.8903077351025033E-2</v>
      </c>
      <c r="I85" s="479">
        <f t="shared" si="15"/>
        <v>2.1335237312458677E-2</v>
      </c>
      <c r="J85" s="481">
        <f t="shared" si="15"/>
        <v>2.088955372635537E-2</v>
      </c>
      <c r="K85" s="286">
        <f t="shared" si="16"/>
        <v>3.1399066980584589E-2</v>
      </c>
      <c r="L85" s="242"/>
      <c r="M85" s="283"/>
      <c r="N85" s="283"/>
      <c r="O85" s="283"/>
      <c r="P85" s="283"/>
      <c r="Q85" s="283"/>
      <c r="R85" s="283"/>
      <c r="S85" s="283"/>
      <c r="T85" s="283"/>
    </row>
    <row r="86" spans="1:20" ht="12.75" thickBot="1" x14ac:dyDescent="0.25">
      <c r="A86" s="508"/>
      <c r="B86" s="239" t="s">
        <v>183</v>
      </c>
      <c r="C86" s="507">
        <f t="shared" si="17"/>
        <v>15.92307047990073</v>
      </c>
      <c r="D86" s="285">
        <f t="shared" si="14"/>
        <v>5.2514757683352897E-4</v>
      </c>
      <c r="E86" s="507">
        <f>E64</f>
        <v>16.533903813234062</v>
      </c>
      <c r="F86" s="479">
        <f t="shared" si="15"/>
        <v>3.8361529210359846E-2</v>
      </c>
      <c r="G86" s="479">
        <f t="shared" si="15"/>
        <v>2.0595263450277734E-2</v>
      </c>
      <c r="H86" s="479">
        <f t="shared" si="15"/>
        <v>1.1870387103452451E-2</v>
      </c>
      <c r="I86" s="479">
        <f t="shared" si="15"/>
        <v>1.3490804101943032E-2</v>
      </c>
      <c r="J86" s="481">
        <f t="shared" si="15"/>
        <v>1.3311224973469038E-2</v>
      </c>
      <c r="K86" s="286">
        <f t="shared" si="16"/>
        <v>1.9478187186842133E-2</v>
      </c>
      <c r="L86" s="242"/>
      <c r="M86" s="283"/>
      <c r="N86" s="283"/>
      <c r="O86" s="283"/>
      <c r="P86" s="283"/>
      <c r="Q86" s="283"/>
      <c r="R86" s="283"/>
      <c r="S86" s="283"/>
      <c r="T86" s="283"/>
    </row>
    <row r="87" spans="1:20" ht="12.75" thickBot="1" x14ac:dyDescent="0.25">
      <c r="A87" s="509"/>
      <c r="B87" s="240" t="s">
        <v>184</v>
      </c>
      <c r="C87" s="510">
        <f t="shared" si="17"/>
        <v>14.118405413985792</v>
      </c>
      <c r="D87" s="289">
        <f t="shared" si="14"/>
        <v>-3.6507982751188273E-3</v>
      </c>
      <c r="E87" s="511">
        <f>E111/E20</f>
        <v>14.751058698525728</v>
      </c>
      <c r="F87" s="292">
        <f t="shared" si="15"/>
        <v>4.3265037050730593E-2</v>
      </c>
      <c r="G87" s="292">
        <f t="shared" si="15"/>
        <v>2.311864928912799E-2</v>
      </c>
      <c r="H87" s="292">
        <f t="shared" si="15"/>
        <v>1.3291914357774548E-2</v>
      </c>
      <c r="I87" s="292">
        <f t="shared" si="15"/>
        <v>1.508519045188339E-2</v>
      </c>
      <c r="J87" s="293">
        <f t="shared" si="15"/>
        <v>1.4861009296340821E-2</v>
      </c>
      <c r="K87" s="294">
        <f t="shared" si="16"/>
        <v>2.1863432301977737E-2</v>
      </c>
      <c r="L87" s="242"/>
      <c r="M87" s="283"/>
      <c r="N87" s="283"/>
      <c r="O87" s="283"/>
      <c r="P87" s="283"/>
      <c r="Q87" s="283"/>
      <c r="R87" s="283"/>
      <c r="S87" s="283"/>
      <c r="T87" s="283"/>
    </row>
    <row r="88" spans="1:20" ht="12.75" thickBot="1" x14ac:dyDescent="0.25">
      <c r="A88" s="657" t="s">
        <v>202</v>
      </c>
      <c r="B88" s="658"/>
      <c r="C88" s="513">
        <f>D66</f>
        <v>16.974986055393853</v>
      </c>
      <c r="D88" s="514">
        <f>D66/C66-1</f>
        <v>7.4754639615430829E-3</v>
      </c>
      <c r="E88" s="513">
        <f>E112/E21</f>
        <v>17.527768866037274</v>
      </c>
      <c r="F88" s="515">
        <f>E66/D66-1</f>
        <v>3.5984320183829466E-2</v>
      </c>
      <c r="G88" s="515">
        <f t="shared" si="15"/>
        <v>1.9363334591812276E-2</v>
      </c>
      <c r="H88" s="515">
        <f t="shared" si="15"/>
        <v>1.1173834129784677E-2</v>
      </c>
      <c r="I88" s="515">
        <f t="shared" si="15"/>
        <v>1.2707913135737936E-2</v>
      </c>
      <c r="J88" s="516">
        <f t="shared" si="15"/>
        <v>1.2548448541682022E-2</v>
      </c>
      <c r="K88" s="517">
        <f>(I66/D66)^(1/5)-1</f>
        <v>1.8313745296783646E-2</v>
      </c>
      <c r="L88" s="242"/>
      <c r="M88" s="283"/>
      <c r="N88" s="283"/>
      <c r="O88" s="283"/>
      <c r="P88" s="283"/>
      <c r="Q88" s="283"/>
      <c r="R88" s="283"/>
      <c r="S88" s="283"/>
      <c r="T88" s="283"/>
    </row>
    <row r="89" spans="1:20" ht="12.75" x14ac:dyDescent="0.2">
      <c r="A89" s="473"/>
      <c r="B89" s="503"/>
      <c r="C89" s="502"/>
      <c r="D89" s="502"/>
      <c r="E89" s="502"/>
      <c r="F89" s="502"/>
      <c r="G89" s="502"/>
      <c r="H89" s="502"/>
      <c r="I89" s="502"/>
      <c r="J89"/>
      <c r="K89"/>
      <c r="L89"/>
      <c r="M89"/>
    </row>
    <row r="90" spans="1:20" ht="12.75" x14ac:dyDescent="0.2">
      <c r="B90" s="504"/>
      <c r="C90" s="502"/>
      <c r="D90" s="502"/>
      <c r="E90" s="502"/>
      <c r="F90" s="502"/>
      <c r="G90" s="502"/>
      <c r="H90" s="502"/>
      <c r="I90" s="502"/>
      <c r="J90"/>
      <c r="K90"/>
      <c r="L90"/>
      <c r="M90"/>
    </row>
    <row r="91" spans="1:20" customFormat="1" ht="12.75" x14ac:dyDescent="0.2"/>
    <row r="93" spans="1:20" ht="12.75" x14ac:dyDescent="0.2">
      <c r="A93" s="243" t="s">
        <v>203</v>
      </c>
    </row>
    <row r="95" spans="1:20" x14ac:dyDescent="0.2">
      <c r="A95" s="450" t="s">
        <v>264</v>
      </c>
      <c r="B95" s="451"/>
      <c r="C95" s="451"/>
      <c r="D95" s="451"/>
    </row>
    <row r="96" spans="1:20" ht="12.75" thickBot="1" x14ac:dyDescent="0.25">
      <c r="A96" s="452"/>
    </row>
    <row r="97" spans="1:17" ht="13.5" customHeight="1" thickTop="1" thickBot="1" x14ac:dyDescent="0.25">
      <c r="A97" s="638" t="s">
        <v>204</v>
      </c>
      <c r="B97" s="441"/>
      <c r="C97" s="440" t="s">
        <v>181</v>
      </c>
      <c r="D97" s="440" t="s">
        <v>181</v>
      </c>
      <c r="E97" s="640" t="s">
        <v>1</v>
      </c>
      <c r="F97" s="641"/>
      <c r="G97" s="641"/>
      <c r="H97" s="641"/>
      <c r="I97" s="642"/>
    </row>
    <row r="98" spans="1:17" ht="12.75" customHeight="1" thickBot="1" x14ac:dyDescent="0.25">
      <c r="A98" s="639"/>
      <c r="B98" s="442"/>
      <c r="C98" s="232">
        <v>2021</v>
      </c>
      <c r="D98" s="232">
        <f>C98+1</f>
        <v>2022</v>
      </c>
      <c r="E98" s="232">
        <f t="shared" ref="E98:I98" si="18">D98+1</f>
        <v>2023</v>
      </c>
      <c r="F98" s="232">
        <f t="shared" si="18"/>
        <v>2024</v>
      </c>
      <c r="G98" s="232">
        <f t="shared" si="18"/>
        <v>2025</v>
      </c>
      <c r="H98" s="232">
        <f t="shared" si="18"/>
        <v>2026</v>
      </c>
      <c r="I98" s="232">
        <f t="shared" si="18"/>
        <v>2027</v>
      </c>
    </row>
    <row r="99" spans="1:17" ht="12" customHeight="1" x14ac:dyDescent="0.2">
      <c r="A99" s="650" t="s">
        <v>182</v>
      </c>
      <c r="B99" s="234" t="s">
        <v>279</v>
      </c>
      <c r="C99" s="518">
        <v>2047737.3160932173</v>
      </c>
      <c r="D99" s="518">
        <v>2309504.0508296844</v>
      </c>
      <c r="E99" s="458">
        <v>2497504.0871841945</v>
      </c>
      <c r="F99" s="458">
        <v>2612331.0951974271</v>
      </c>
      <c r="G99" s="458">
        <v>2709236.872369756</v>
      </c>
      <c r="H99" s="458">
        <v>2815135.9088783283</v>
      </c>
      <c r="I99" s="458">
        <v>2924398.2521469714</v>
      </c>
      <c r="K99" s="235"/>
      <c r="L99" s="235"/>
      <c r="M99" s="235"/>
      <c r="N99" s="235"/>
      <c r="O99" s="235"/>
      <c r="P99" s="235"/>
      <c r="Q99" s="235"/>
    </row>
    <row r="100" spans="1:17" ht="12" customHeight="1" x14ac:dyDescent="0.2">
      <c r="A100" s="651"/>
      <c r="B100" s="234" t="s">
        <v>225</v>
      </c>
      <c r="C100" s="518">
        <v>1063329.2045639728</v>
      </c>
      <c r="D100" s="518">
        <v>1186955.3697622309</v>
      </c>
      <c r="E100" s="458">
        <v>1282662.2694581433</v>
      </c>
      <c r="F100" s="458">
        <v>1350530.7292600698</v>
      </c>
      <c r="G100" s="458">
        <v>1405433.0594504511</v>
      </c>
      <c r="H100" s="458">
        <v>1465806.978545615</v>
      </c>
      <c r="I100" s="458">
        <v>1528213.8158354894</v>
      </c>
      <c r="K100" s="235"/>
      <c r="L100" s="235"/>
      <c r="M100" s="235"/>
      <c r="N100" s="235"/>
      <c r="O100" s="235"/>
      <c r="P100" s="235"/>
      <c r="Q100" s="235"/>
    </row>
    <row r="101" spans="1:17" ht="12" customHeight="1" x14ac:dyDescent="0.2">
      <c r="A101" s="651"/>
      <c r="B101" s="234" t="s">
        <v>183</v>
      </c>
      <c r="C101" s="518">
        <v>5284936.6984527633</v>
      </c>
      <c r="D101" s="518">
        <v>5576339.809170654</v>
      </c>
      <c r="E101" s="458">
        <v>5998089.9313251376</v>
      </c>
      <c r="F101" s="458">
        <v>6162924.9132393822</v>
      </c>
      <c r="G101" s="458">
        <v>6248806.6772895884</v>
      </c>
      <c r="H101" s="458">
        <v>6346230.0434642965</v>
      </c>
      <c r="I101" s="458">
        <v>6443980.7483980441</v>
      </c>
      <c r="K101" s="235"/>
      <c r="L101" s="235"/>
      <c r="M101" s="235"/>
      <c r="N101" s="235"/>
      <c r="O101" s="235"/>
      <c r="P101" s="235"/>
      <c r="Q101" s="235"/>
    </row>
    <row r="102" spans="1:17" ht="12.75" customHeight="1" thickBot="1" x14ac:dyDescent="0.25">
      <c r="A102" s="652"/>
      <c r="B102" s="236" t="s">
        <v>184</v>
      </c>
      <c r="C102" s="519">
        <v>8396003.2191099524</v>
      </c>
      <c r="D102" s="519">
        <f t="shared" ref="D102:I102" si="19">SUM(D99:D101)</f>
        <v>9072799.2297625691</v>
      </c>
      <c r="E102" s="519">
        <f t="shared" si="19"/>
        <v>9778256.2879674751</v>
      </c>
      <c r="F102" s="519">
        <f t="shared" si="19"/>
        <v>10125786.737696879</v>
      </c>
      <c r="G102" s="519">
        <f t="shared" si="19"/>
        <v>10363476.609109797</v>
      </c>
      <c r="H102" s="519">
        <f t="shared" si="19"/>
        <v>10627172.930888239</v>
      </c>
      <c r="I102" s="519">
        <f t="shared" si="19"/>
        <v>10896592.816380505</v>
      </c>
      <c r="K102" s="235"/>
      <c r="L102" s="235"/>
      <c r="M102" s="235"/>
      <c r="N102" s="235"/>
      <c r="O102" s="235"/>
      <c r="P102" s="235"/>
      <c r="Q102" s="235"/>
    </row>
    <row r="103" spans="1:17" x14ac:dyDescent="0.2">
      <c r="A103" s="650" t="s">
        <v>185</v>
      </c>
      <c r="B103" s="233" t="s">
        <v>186</v>
      </c>
      <c r="C103" s="520">
        <v>460580.65981567989</v>
      </c>
      <c r="D103" s="520">
        <v>490591.68341010914</v>
      </c>
      <c r="E103" s="458">
        <v>509851.14767555433</v>
      </c>
      <c r="F103" s="458">
        <v>479399.12725614174</v>
      </c>
      <c r="G103" s="458">
        <v>507788.87166213448</v>
      </c>
      <c r="H103" s="458">
        <v>538833.55327397119</v>
      </c>
      <c r="I103" s="458">
        <v>571643.41060099564</v>
      </c>
      <c r="K103" s="235"/>
      <c r="L103" s="235"/>
      <c r="M103" s="235"/>
      <c r="N103" s="235"/>
      <c r="O103" s="235"/>
      <c r="P103" s="235"/>
      <c r="Q103" s="235"/>
    </row>
    <row r="104" spans="1:17" x14ac:dyDescent="0.2">
      <c r="A104" s="653"/>
      <c r="B104" s="234" t="s">
        <v>183</v>
      </c>
      <c r="C104" s="518">
        <v>4163007.188713755</v>
      </c>
      <c r="D104" s="518">
        <v>4295583.7990941955</v>
      </c>
      <c r="E104" s="458">
        <v>4497913.9133974453</v>
      </c>
      <c r="F104" s="458">
        <v>4610859.1437758515</v>
      </c>
      <c r="G104" s="458">
        <v>4657013.4996136902</v>
      </c>
      <c r="H104" s="458">
        <v>4709629.421965979</v>
      </c>
      <c r="I104" s="458">
        <v>4762323.9867217112</v>
      </c>
      <c r="K104" s="235"/>
      <c r="L104" s="235"/>
      <c r="M104" s="235"/>
      <c r="N104" s="235"/>
      <c r="O104" s="235"/>
      <c r="P104" s="235"/>
      <c r="Q104" s="235"/>
    </row>
    <row r="105" spans="1:17" ht="12.75" thickBot="1" x14ac:dyDescent="0.25">
      <c r="A105" s="654"/>
      <c r="B105" s="236" t="s">
        <v>184</v>
      </c>
      <c r="C105" s="519">
        <v>4623587.8485294348</v>
      </c>
      <c r="D105" s="519">
        <f t="shared" ref="D105:H105" si="20">SUM(D103:D104)</f>
        <v>4786175.4825043045</v>
      </c>
      <c r="E105" s="519">
        <f t="shared" si="20"/>
        <v>5007765.0610729996</v>
      </c>
      <c r="F105" s="519">
        <f t="shared" si="20"/>
        <v>5090258.2710319934</v>
      </c>
      <c r="G105" s="519">
        <f t="shared" si="20"/>
        <v>5164802.3712758245</v>
      </c>
      <c r="H105" s="519">
        <f t="shared" si="20"/>
        <v>5248462.9752399502</v>
      </c>
      <c r="I105" s="519">
        <f>SUM(I103:I104)</f>
        <v>5333967.3973227069</v>
      </c>
      <c r="K105" s="235"/>
      <c r="L105" s="235"/>
      <c r="M105" s="235"/>
      <c r="N105" s="235"/>
      <c r="O105" s="235"/>
      <c r="P105" s="235"/>
      <c r="Q105" s="235"/>
    </row>
    <row r="106" spans="1:17" x14ac:dyDescent="0.2">
      <c r="A106" s="650" t="s">
        <v>187</v>
      </c>
      <c r="B106" s="233" t="str">
        <f>B103</f>
        <v>Cdd</v>
      </c>
      <c r="C106" s="520">
        <v>542443.98533953284</v>
      </c>
      <c r="D106" s="520">
        <v>587648.38324136962</v>
      </c>
      <c r="E106" s="458">
        <v>615824.33188414969</v>
      </c>
      <c r="F106" s="458">
        <v>655045.21314625803</v>
      </c>
      <c r="G106" s="458">
        <v>690177.37470614119</v>
      </c>
      <c r="H106" s="458">
        <v>728465.17192309001</v>
      </c>
      <c r="I106" s="458">
        <v>768711.70911786484</v>
      </c>
      <c r="K106" s="235"/>
      <c r="L106" s="235"/>
      <c r="M106" s="235"/>
      <c r="N106" s="235"/>
      <c r="O106" s="235"/>
      <c r="P106" s="235"/>
      <c r="Q106" s="235"/>
    </row>
    <row r="107" spans="1:17" x14ac:dyDescent="0.2">
      <c r="A107" s="653"/>
      <c r="B107" s="234" t="s">
        <v>183</v>
      </c>
      <c r="C107" s="518">
        <v>6937208.4378102655</v>
      </c>
      <c r="D107" s="518">
        <v>7072205.227185172</v>
      </c>
      <c r="E107" s="458">
        <v>7365294.9443794573</v>
      </c>
      <c r="F107" s="458">
        <v>7590167.1875525303</v>
      </c>
      <c r="G107" s="458">
        <v>7690743.5482841423</v>
      </c>
      <c r="H107" s="458">
        <v>7801576.7163060559</v>
      </c>
      <c r="I107" s="458">
        <v>7913325.9474194814</v>
      </c>
      <c r="K107" s="235"/>
      <c r="L107" s="235"/>
      <c r="M107" s="235"/>
      <c r="N107" s="235"/>
      <c r="O107" s="235"/>
      <c r="P107" s="235"/>
      <c r="Q107" s="235"/>
    </row>
    <row r="108" spans="1:17" ht="12.75" thickBot="1" x14ac:dyDescent="0.25">
      <c r="A108" s="654"/>
      <c r="B108" s="236" t="s">
        <v>184</v>
      </c>
      <c r="C108" s="519">
        <v>7479652.4231497981</v>
      </c>
      <c r="D108" s="519">
        <f t="shared" ref="D108:I108" si="21">SUM(D106:D107)</f>
        <v>7659853.6104265414</v>
      </c>
      <c r="E108" s="519">
        <f t="shared" si="21"/>
        <v>7981119.2762636067</v>
      </c>
      <c r="F108" s="519">
        <f t="shared" si="21"/>
        <v>8245212.4006987885</v>
      </c>
      <c r="G108" s="519">
        <f t="shared" si="21"/>
        <v>8380920.922990283</v>
      </c>
      <c r="H108" s="519">
        <f t="shared" si="21"/>
        <v>8530041.8882291466</v>
      </c>
      <c r="I108" s="519">
        <f t="shared" si="21"/>
        <v>8682037.6565373465</v>
      </c>
      <c r="K108" s="235"/>
      <c r="L108" s="235"/>
      <c r="M108" s="235"/>
      <c r="N108" s="235"/>
      <c r="O108" s="235"/>
      <c r="P108" s="235"/>
      <c r="Q108" s="235"/>
    </row>
    <row r="109" spans="1:17" x14ac:dyDescent="0.2">
      <c r="A109" s="651" t="s">
        <v>188</v>
      </c>
      <c r="B109" s="234" t="str">
        <f>B106</f>
        <v>Cdd</v>
      </c>
      <c r="C109" s="518">
        <v>563086.12330981693</v>
      </c>
      <c r="D109" s="518">
        <v>581573.70750277804</v>
      </c>
      <c r="E109" s="458">
        <v>621559.11515790608</v>
      </c>
      <c r="F109" s="458">
        <v>620208.93649272947</v>
      </c>
      <c r="G109" s="458">
        <v>644571.44987290958</v>
      </c>
      <c r="H109" s="458">
        <v>671490.00541519932</v>
      </c>
      <c r="I109" s="458">
        <v>699227.47459923138</v>
      </c>
      <c r="K109" s="235"/>
      <c r="L109" s="235"/>
      <c r="M109" s="235"/>
      <c r="N109" s="235"/>
      <c r="O109" s="235"/>
      <c r="P109" s="235"/>
      <c r="Q109" s="235"/>
    </row>
    <row r="110" spans="1:17" x14ac:dyDescent="0.2">
      <c r="A110" s="653"/>
      <c r="B110" s="237" t="s">
        <v>183</v>
      </c>
      <c r="C110" s="518">
        <v>2187076.3974464978</v>
      </c>
      <c r="D110" s="518">
        <v>2369131.3178835008</v>
      </c>
      <c r="E110" s="458">
        <v>2526435.2182273841</v>
      </c>
      <c r="F110" s="458">
        <v>2790230.1880163909</v>
      </c>
      <c r="G110" s="458">
        <v>2837468.0569581632</v>
      </c>
      <c r="H110" s="458">
        <v>2890126.5215734071</v>
      </c>
      <c r="I110" s="458">
        <v>2943240.6341333794</v>
      </c>
      <c r="K110" s="235"/>
      <c r="L110" s="235"/>
      <c r="M110" s="235"/>
      <c r="N110" s="235"/>
      <c r="O110" s="235"/>
      <c r="P110" s="235"/>
      <c r="Q110" s="235"/>
    </row>
    <row r="111" spans="1:17" ht="12.75" thickBot="1" x14ac:dyDescent="0.25">
      <c r="A111" s="653"/>
      <c r="B111" s="468" t="s">
        <v>184</v>
      </c>
      <c r="C111" s="521">
        <v>2750162.5207563145</v>
      </c>
      <c r="D111" s="521">
        <f t="shared" ref="D111:I111" si="22">SUM(D109:D110)</f>
        <v>2950705.025386279</v>
      </c>
      <c r="E111" s="521">
        <f t="shared" si="22"/>
        <v>3147994.3333852901</v>
      </c>
      <c r="F111" s="521">
        <f t="shared" si="22"/>
        <v>3410439.1245091204</v>
      </c>
      <c r="G111" s="521">
        <f t="shared" si="22"/>
        <v>3482039.5068310727</v>
      </c>
      <c r="H111" s="521">
        <f t="shared" si="22"/>
        <v>3561616.5269886064</v>
      </c>
      <c r="I111" s="521">
        <f t="shared" si="22"/>
        <v>3642468.1087326109</v>
      </c>
      <c r="K111" s="235"/>
      <c r="L111" s="235"/>
      <c r="M111" s="235"/>
      <c r="N111" s="235"/>
      <c r="O111" s="235"/>
      <c r="P111" s="235"/>
      <c r="Q111" s="235"/>
    </row>
    <row r="112" spans="1:17" ht="13.5" thickBot="1" x14ac:dyDescent="0.25">
      <c r="A112" s="655" t="s">
        <v>205</v>
      </c>
      <c r="B112" s="656"/>
      <c r="C112" s="522">
        <f>C111+C108+C105+C102</f>
        <v>23249406.011545502</v>
      </c>
      <c r="D112" s="523">
        <f t="shared" ref="D112:I112" si="23">D111+D108+D105+D102</f>
        <v>24469533.348079696</v>
      </c>
      <c r="E112" s="523">
        <f t="shared" si="23"/>
        <v>25915134.958689369</v>
      </c>
      <c r="F112" s="523">
        <f t="shared" si="23"/>
        <v>26871696.53393678</v>
      </c>
      <c r="G112" s="523">
        <f t="shared" si="23"/>
        <v>27391239.410206977</v>
      </c>
      <c r="H112" s="523">
        <f t="shared" si="23"/>
        <v>27967294.321345944</v>
      </c>
      <c r="I112" s="523">
        <f t="shared" si="23"/>
        <v>28555065.978973169</v>
      </c>
      <c r="K112" s="235"/>
      <c r="L112" s="235"/>
      <c r="M112" s="235"/>
      <c r="N112" s="235"/>
      <c r="O112" s="235"/>
      <c r="P112" s="235"/>
      <c r="Q112" s="235"/>
    </row>
    <row r="113" spans="1:23" ht="12.75" x14ac:dyDescent="0.2">
      <c r="A113" s="267"/>
      <c r="B113" s="268" t="s">
        <v>222</v>
      </c>
      <c r="C113" s="471">
        <f>C99+C100+C103+C106+C109</f>
        <v>4677177.2891222201</v>
      </c>
      <c r="D113" s="471">
        <f t="shared" ref="D113:I113" si="24">D99+D100+D103+D106+D109</f>
        <v>5156273.1947461711</v>
      </c>
      <c r="E113" s="471">
        <f t="shared" si="24"/>
        <v>5527400.9513599472</v>
      </c>
      <c r="F113" s="471">
        <f t="shared" si="24"/>
        <v>5717515.1013526265</v>
      </c>
      <c r="G113" s="471">
        <f t="shared" si="24"/>
        <v>5957207.6280613914</v>
      </c>
      <c r="H113" s="471">
        <f t="shared" si="24"/>
        <v>6219731.618036204</v>
      </c>
      <c r="I113" s="471">
        <f t="shared" si="24"/>
        <v>6492194.6623005532</v>
      </c>
      <c r="J113"/>
      <c r="K113" s="235"/>
      <c r="L113" s="235"/>
      <c r="M113" s="235"/>
      <c r="N113" s="235"/>
      <c r="O113" s="235"/>
      <c r="P113" s="235"/>
      <c r="Q113" s="235"/>
    </row>
    <row r="114" spans="1:23" ht="13.5" thickBot="1" x14ac:dyDescent="0.25">
      <c r="A114" s="269"/>
      <c r="B114" s="270" t="s">
        <v>223</v>
      </c>
      <c r="C114" s="472">
        <f>C101+C104+C107+C110</f>
        <v>18572228.722423282</v>
      </c>
      <c r="D114" s="472">
        <f t="shared" ref="D114:I114" si="25">D101+D104+D107+D110</f>
        <v>19313260.153333522</v>
      </c>
      <c r="E114" s="472">
        <f t="shared" si="25"/>
        <v>20387734.007329423</v>
      </c>
      <c r="F114" s="472">
        <f t="shared" si="25"/>
        <v>21154181.432584155</v>
      </c>
      <c r="G114" s="472">
        <f t="shared" si="25"/>
        <v>21434031.782145582</v>
      </c>
      <c r="H114" s="472">
        <f t="shared" si="25"/>
        <v>21747562.703309737</v>
      </c>
      <c r="I114" s="472">
        <f t="shared" si="25"/>
        <v>22062871.316672619</v>
      </c>
      <c r="J114"/>
      <c r="K114" s="235"/>
      <c r="L114" s="235"/>
      <c r="M114" s="235"/>
      <c r="N114" s="235"/>
      <c r="O114" s="235"/>
      <c r="P114" s="235"/>
      <c r="Q114" s="235"/>
    </row>
    <row r="115" spans="1:23" ht="12.75" x14ac:dyDescent="0.2">
      <c r="A115" s="473"/>
      <c r="B115" s="474"/>
      <c r="C115" s="475"/>
      <c r="D115" s="475"/>
      <c r="E115" s="475"/>
      <c r="F115" s="475"/>
      <c r="G115" s="475"/>
      <c r="H115" s="475"/>
      <c r="I115" s="475"/>
    </row>
    <row r="116" spans="1:23" x14ac:dyDescent="0.2">
      <c r="A116" s="161"/>
    </row>
    <row r="117" spans="1:23" x14ac:dyDescent="0.2">
      <c r="D117" s="452"/>
    </row>
    <row r="118" spans="1:23" ht="12.75" thickBot="1" x14ac:dyDescent="0.25"/>
    <row r="119" spans="1:23" ht="17.25" customHeight="1" thickTop="1" thickBot="1" x14ac:dyDescent="0.25">
      <c r="A119" s="255" t="s">
        <v>206</v>
      </c>
      <c r="B119" s="256"/>
      <c r="C119" s="631" t="s">
        <v>181</v>
      </c>
      <c r="D119" s="632"/>
      <c r="E119" s="633" t="s">
        <v>1</v>
      </c>
      <c r="F119" s="634"/>
      <c r="G119" s="634"/>
      <c r="H119" s="634"/>
      <c r="I119" s="634"/>
      <c r="J119" s="635"/>
      <c r="K119" s="648" t="s">
        <v>191</v>
      </c>
      <c r="L119" s="648" t="str">
        <f>L28</f>
        <v>Contribution moyenne</v>
      </c>
    </row>
    <row r="120" spans="1:23" ht="13.5" thickTop="1" thickBot="1" x14ac:dyDescent="0.25">
      <c r="A120" s="253" t="s">
        <v>207</v>
      </c>
      <c r="B120" s="254"/>
      <c r="C120" s="476">
        <v>2022</v>
      </c>
      <c r="D120" s="476" t="s">
        <v>194</v>
      </c>
      <c r="E120" s="476">
        <v>2023</v>
      </c>
      <c r="F120" s="476" t="s">
        <v>195</v>
      </c>
      <c r="G120" s="476" t="s">
        <v>196</v>
      </c>
      <c r="H120" s="476" t="s">
        <v>224</v>
      </c>
      <c r="I120" s="476" t="s">
        <v>242</v>
      </c>
      <c r="J120" s="476" t="s">
        <v>277</v>
      </c>
      <c r="K120" s="649"/>
      <c r="L120" s="649"/>
    </row>
    <row r="121" spans="1:23" x14ac:dyDescent="0.2">
      <c r="A121" s="506" t="s">
        <v>182</v>
      </c>
      <c r="B121" s="238" t="str">
        <f>B99</f>
        <v>Tode</v>
      </c>
      <c r="C121" s="284">
        <f>D99</f>
        <v>2309504.0508296844</v>
      </c>
      <c r="D121" s="285">
        <f t="shared" ref="D121:D136" si="26">D99/C99-1</f>
        <v>0.12783218466511115</v>
      </c>
      <c r="E121" s="284">
        <f>E99</f>
        <v>2497504.0871841945</v>
      </c>
      <c r="F121" s="479">
        <f t="shared" ref="F121:J136" si="27">E99/D99-1</f>
        <v>8.140277402283469E-2</v>
      </c>
      <c r="G121" s="479">
        <f t="shared" si="27"/>
        <v>4.5976704743932562E-2</v>
      </c>
      <c r="H121" s="479">
        <f t="shared" si="27"/>
        <v>3.7095518768843316E-2</v>
      </c>
      <c r="I121" s="479">
        <f t="shared" si="27"/>
        <v>3.9088142343176813E-2</v>
      </c>
      <c r="J121" s="481">
        <f t="shared" si="27"/>
        <v>3.8812457659345379E-2</v>
      </c>
      <c r="K121" s="286">
        <f t="shared" ref="K121:K136" si="28">(I99/D99)^(1/5)-1</f>
        <v>4.8343380915022438E-2</v>
      </c>
      <c r="L121" s="287">
        <f t="shared" ref="L121:L135" si="29">(C121/$C$134)*K121*100</f>
        <v>0.4562785585888941</v>
      </c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</row>
    <row r="122" spans="1:23" x14ac:dyDescent="0.2">
      <c r="A122" s="508"/>
      <c r="B122" s="238" t="s">
        <v>280</v>
      </c>
      <c r="C122" s="284">
        <f>D100</f>
        <v>1186955.3697622309</v>
      </c>
      <c r="D122" s="285">
        <f t="shared" si="26"/>
        <v>0.11626330271719754</v>
      </c>
      <c r="E122" s="284">
        <f>E100</f>
        <v>1282662.2694581433</v>
      </c>
      <c r="F122" s="479">
        <f t="shared" si="27"/>
        <v>8.0632264813026877E-2</v>
      </c>
      <c r="G122" s="479">
        <f t="shared" si="27"/>
        <v>5.2912182277410569E-2</v>
      </c>
      <c r="H122" s="479">
        <f t="shared" si="27"/>
        <v>4.0652410938077033E-2</v>
      </c>
      <c r="I122" s="479">
        <f t="shared" si="27"/>
        <v>4.2957520238474434E-2</v>
      </c>
      <c r="J122" s="481">
        <f t="shared" si="27"/>
        <v>4.2575071754532789E-2</v>
      </c>
      <c r="K122" s="286">
        <f t="shared" si="28"/>
        <v>5.1840639431485425E-2</v>
      </c>
      <c r="L122" s="287">
        <f t="shared" si="29"/>
        <v>0.25146587174265905</v>
      </c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</row>
    <row r="123" spans="1:23" ht="12.75" thickBot="1" x14ac:dyDescent="0.25">
      <c r="A123" s="508"/>
      <c r="B123" s="239" t="s">
        <v>183</v>
      </c>
      <c r="C123" s="284">
        <f>D101</f>
        <v>5576339.809170654</v>
      </c>
      <c r="D123" s="285">
        <f t="shared" si="26"/>
        <v>5.5138429719168158E-2</v>
      </c>
      <c r="E123" s="284">
        <f>E101</f>
        <v>5998089.9313251376</v>
      </c>
      <c r="F123" s="479">
        <f t="shared" si="27"/>
        <v>7.5632069885857467E-2</v>
      </c>
      <c r="G123" s="479">
        <f t="shared" si="27"/>
        <v>2.7481245496735696E-2</v>
      </c>
      <c r="H123" s="479">
        <f t="shared" si="27"/>
        <v>1.3935228038510106E-2</v>
      </c>
      <c r="I123" s="479">
        <f t="shared" si="27"/>
        <v>1.5590715348704931E-2</v>
      </c>
      <c r="J123" s="481">
        <f t="shared" si="27"/>
        <v>1.5402956442528648E-2</v>
      </c>
      <c r="K123" s="286">
        <f t="shared" si="28"/>
        <v>2.9345098130242331E-2</v>
      </c>
      <c r="L123" s="287">
        <f t="shared" si="29"/>
        <v>0.6687427854872906</v>
      </c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</row>
    <row r="124" spans="1:23" ht="12.75" thickBot="1" x14ac:dyDescent="0.25">
      <c r="A124" s="509"/>
      <c r="B124" s="240" t="s">
        <v>184</v>
      </c>
      <c r="C124" s="288">
        <f>SUM(C121:C123)</f>
        <v>9072799.2297625691</v>
      </c>
      <c r="D124" s="289">
        <f t="shared" si="26"/>
        <v>8.0609308142257197E-2</v>
      </c>
      <c r="E124" s="288">
        <f>SUM(E121:E123)</f>
        <v>9778256.2879674751</v>
      </c>
      <c r="F124" s="291">
        <f t="shared" si="27"/>
        <v>7.7755171291646441E-2</v>
      </c>
      <c r="G124" s="292">
        <f t="shared" si="27"/>
        <v>3.5541147572195841E-2</v>
      </c>
      <c r="H124" s="292">
        <f t="shared" si="27"/>
        <v>2.3473718889222894E-2</v>
      </c>
      <c r="I124" s="292">
        <f t="shared" si="27"/>
        <v>2.5444774154905314E-2</v>
      </c>
      <c r="J124" s="293">
        <f t="shared" si="27"/>
        <v>2.5351980930806928E-2</v>
      </c>
      <c r="K124" s="294">
        <f t="shared" si="28"/>
        <v>3.7313152179133446E-2</v>
      </c>
      <c r="L124" s="295">
        <f t="shared" si="29"/>
        <v>1.3834948690487505</v>
      </c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</row>
    <row r="125" spans="1:23" x14ac:dyDescent="0.2">
      <c r="A125" s="643" t="s">
        <v>185</v>
      </c>
      <c r="B125" s="238" t="s">
        <v>280</v>
      </c>
      <c r="C125" s="284">
        <f>D103</f>
        <v>490591.68341010914</v>
      </c>
      <c r="D125" s="285">
        <f t="shared" si="26"/>
        <v>6.5159105044574339E-2</v>
      </c>
      <c r="E125" s="284">
        <f>E103</f>
        <v>509851.14767555433</v>
      </c>
      <c r="F125" s="479">
        <f t="shared" si="27"/>
        <v>3.9257624857340412E-2</v>
      </c>
      <c r="G125" s="479">
        <f t="shared" si="27"/>
        <v>-5.9727276398700679E-2</v>
      </c>
      <c r="H125" s="479">
        <f t="shared" si="27"/>
        <v>5.9219432810573736E-2</v>
      </c>
      <c r="I125" s="479">
        <f t="shared" si="27"/>
        <v>6.1136986933602477E-2</v>
      </c>
      <c r="J125" s="481">
        <f t="shared" si="27"/>
        <v>6.0890523850399836E-2</v>
      </c>
      <c r="K125" s="286">
        <f t="shared" si="28"/>
        <v>3.1053032696498395E-2</v>
      </c>
      <c r="L125" s="287">
        <f t="shared" si="29"/>
        <v>6.2258480245026254E-2</v>
      </c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</row>
    <row r="126" spans="1:23" ht="12.75" thickBot="1" x14ac:dyDescent="0.25">
      <c r="A126" s="644"/>
      <c r="B126" s="239" t="s">
        <v>183</v>
      </c>
      <c r="C126" s="296">
        <f>D104</f>
        <v>4295583.7990941955</v>
      </c>
      <c r="D126" s="285">
        <f t="shared" si="26"/>
        <v>3.1846356340643922E-2</v>
      </c>
      <c r="E126" s="296">
        <f>E104</f>
        <v>4497913.9133974453</v>
      </c>
      <c r="F126" s="479">
        <f t="shared" si="27"/>
        <v>4.7101889700281285E-2</v>
      </c>
      <c r="G126" s="479">
        <f t="shared" si="27"/>
        <v>2.5110580716538156E-2</v>
      </c>
      <c r="H126" s="479">
        <f t="shared" si="27"/>
        <v>1.0009925352012061E-2</v>
      </c>
      <c r="I126" s="479">
        <f t="shared" si="27"/>
        <v>1.1298211258492952E-2</v>
      </c>
      <c r="J126" s="481">
        <f t="shared" si="27"/>
        <v>1.1188685995114911E-2</v>
      </c>
      <c r="K126" s="286">
        <f t="shared" si="28"/>
        <v>2.0843924351259702E-2</v>
      </c>
      <c r="L126" s="287">
        <f t="shared" si="29"/>
        <v>0.36591144783659224</v>
      </c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</row>
    <row r="127" spans="1:23" ht="12.75" thickBot="1" x14ac:dyDescent="0.25">
      <c r="A127" s="645"/>
      <c r="B127" s="240" t="s">
        <v>184</v>
      </c>
      <c r="C127" s="297">
        <f>C125+C126</f>
        <v>4786175.4825043045</v>
      </c>
      <c r="D127" s="289">
        <f t="shared" si="26"/>
        <v>3.5164819897729904E-2</v>
      </c>
      <c r="E127" s="288">
        <f>E125+E126</f>
        <v>5007765.0610729996</v>
      </c>
      <c r="F127" s="291">
        <f t="shared" si="27"/>
        <v>4.6297838300895622E-2</v>
      </c>
      <c r="G127" s="292">
        <f t="shared" si="27"/>
        <v>1.6473059129758383E-2</v>
      </c>
      <c r="H127" s="292">
        <f t="shared" si="27"/>
        <v>1.464446326192359E-2</v>
      </c>
      <c r="I127" s="292">
        <f t="shared" si="27"/>
        <v>1.6198219786570434E-2</v>
      </c>
      <c r="J127" s="293">
        <f t="shared" si="27"/>
        <v>1.6291326143697882E-2</v>
      </c>
      <c r="K127" s="294">
        <f t="shared" si="28"/>
        <v>2.1909291302571576E-2</v>
      </c>
      <c r="L127" s="295">
        <f t="shared" si="29"/>
        <v>0.42853989644899448</v>
      </c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</row>
    <row r="128" spans="1:23" x14ac:dyDescent="0.2">
      <c r="A128" s="643" t="s">
        <v>187</v>
      </c>
      <c r="B128" s="238" t="s">
        <v>280</v>
      </c>
      <c r="C128" s="284">
        <f>D106</f>
        <v>587648.38324136962</v>
      </c>
      <c r="D128" s="285">
        <f t="shared" si="26"/>
        <v>8.3334683623677686E-2</v>
      </c>
      <c r="E128" s="284">
        <f>E106</f>
        <v>615824.33188414969</v>
      </c>
      <c r="F128" s="479">
        <f t="shared" si="27"/>
        <v>4.7946951691360429E-2</v>
      </c>
      <c r="G128" s="479">
        <f t="shared" si="27"/>
        <v>6.3688424168155011E-2</v>
      </c>
      <c r="H128" s="479">
        <f t="shared" si="27"/>
        <v>5.3633185702005592E-2</v>
      </c>
      <c r="I128" s="479">
        <f t="shared" si="27"/>
        <v>5.5475300437442865E-2</v>
      </c>
      <c r="J128" s="481">
        <f t="shared" si="27"/>
        <v>5.5248402732181567E-2</v>
      </c>
      <c r="K128" s="286">
        <f t="shared" si="28"/>
        <v>5.5186412308709798E-2</v>
      </c>
      <c r="L128" s="287">
        <f t="shared" si="29"/>
        <v>0.13253299729416365</v>
      </c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</row>
    <row r="129" spans="1:23" ht="12.75" thickBot="1" x14ac:dyDescent="0.25">
      <c r="A129" s="644"/>
      <c r="B129" s="239" t="s">
        <v>183</v>
      </c>
      <c r="C129" s="296">
        <f>D107</f>
        <v>7072205.227185172</v>
      </c>
      <c r="D129" s="285">
        <f t="shared" si="26"/>
        <v>1.9459814503933082E-2</v>
      </c>
      <c r="E129" s="296">
        <f>E107</f>
        <v>7365294.9443794573</v>
      </c>
      <c r="F129" s="479">
        <f t="shared" si="27"/>
        <v>4.1442479082431705E-2</v>
      </c>
      <c r="G129" s="479">
        <f t="shared" si="27"/>
        <v>3.0531329005999419E-2</v>
      </c>
      <c r="H129" s="479">
        <f t="shared" si="27"/>
        <v>1.3250875540205653E-2</v>
      </c>
      <c r="I129" s="479">
        <f t="shared" si="27"/>
        <v>1.4411242206436858E-2</v>
      </c>
      <c r="J129" s="481">
        <f t="shared" si="27"/>
        <v>1.4323929018073889E-2</v>
      </c>
      <c r="K129" s="286">
        <f t="shared" si="28"/>
        <v>2.2729633860917087E-2</v>
      </c>
      <c r="L129" s="287">
        <f t="shared" si="29"/>
        <v>0.65693380056141548</v>
      </c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</row>
    <row r="130" spans="1:23" ht="12.75" thickBot="1" x14ac:dyDescent="0.25">
      <c r="A130" s="645"/>
      <c r="B130" s="240" t="s">
        <v>184</v>
      </c>
      <c r="C130" s="297">
        <f>C128+C129</f>
        <v>7659853.6104265414</v>
      </c>
      <c r="D130" s="289">
        <f t="shared" si="26"/>
        <v>2.4092187321300473E-2</v>
      </c>
      <c r="E130" s="288">
        <f>E128+E129</f>
        <v>7981119.2762636067</v>
      </c>
      <c r="F130" s="291">
        <f t="shared" si="27"/>
        <v>4.1941488986128928E-2</v>
      </c>
      <c r="G130" s="292">
        <f t="shared" si="27"/>
        <v>3.3089735323291292E-2</v>
      </c>
      <c r="H130" s="292">
        <f t="shared" si="27"/>
        <v>1.6459069299414653E-2</v>
      </c>
      <c r="I130" s="292">
        <f t="shared" si="27"/>
        <v>1.7792909229080056E-2</v>
      </c>
      <c r="J130" s="293">
        <f t="shared" si="27"/>
        <v>1.7818877128603861E-2</v>
      </c>
      <c r="K130" s="294">
        <f t="shared" si="28"/>
        <v>2.5369131757927876E-2</v>
      </c>
      <c r="L130" s="295">
        <f t="shared" si="29"/>
        <v>0.79414606206456539</v>
      </c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</row>
    <row r="131" spans="1:23" x14ac:dyDescent="0.2">
      <c r="A131" s="643" t="s">
        <v>188</v>
      </c>
      <c r="B131" s="238" t="str">
        <f>B125</f>
        <v xml:space="preserve">Cdd </v>
      </c>
      <c r="C131" s="284">
        <f>D109</f>
        <v>581573.70750277804</v>
      </c>
      <c r="D131" s="285">
        <f t="shared" si="26"/>
        <v>3.2832604867424564E-2</v>
      </c>
      <c r="E131" s="284">
        <f>E109</f>
        <v>621559.11515790608</v>
      </c>
      <c r="F131" s="479">
        <f t="shared" si="27"/>
        <v>6.8753809086077089E-2</v>
      </c>
      <c r="G131" s="479">
        <f t="shared" si="27"/>
        <v>-2.172244975980453E-3</v>
      </c>
      <c r="H131" s="479">
        <f t="shared" si="27"/>
        <v>3.9281138898045631E-2</v>
      </c>
      <c r="I131" s="479">
        <f t="shared" si="27"/>
        <v>4.1761942058707868E-2</v>
      </c>
      <c r="J131" s="481">
        <f t="shared" si="27"/>
        <v>4.1307344800882495E-2</v>
      </c>
      <c r="K131" s="286">
        <f t="shared" si="28"/>
        <v>3.7534971451631982E-2</v>
      </c>
      <c r="L131" s="287">
        <f t="shared" si="29"/>
        <v>8.9210334327236587E-2</v>
      </c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</row>
    <row r="132" spans="1:23" ht="12.75" thickBot="1" x14ac:dyDescent="0.25">
      <c r="A132" s="644"/>
      <c r="B132" s="239" t="s">
        <v>183</v>
      </c>
      <c r="C132" s="296">
        <f>D110</f>
        <v>2369131.3178835008</v>
      </c>
      <c r="D132" s="285">
        <f t="shared" si="26"/>
        <v>8.3241225889301163E-2</v>
      </c>
      <c r="E132" s="296">
        <f>E110</f>
        <v>2526435.2182273841</v>
      </c>
      <c r="F132" s="479">
        <f t="shared" si="27"/>
        <v>6.639729049903953E-2</v>
      </c>
      <c r="G132" s="479">
        <f t="shared" si="27"/>
        <v>0.10441390615750379</v>
      </c>
      <c r="H132" s="479">
        <f t="shared" si="27"/>
        <v>1.6929739038969549E-2</v>
      </c>
      <c r="I132" s="479">
        <f t="shared" si="27"/>
        <v>1.855825812245282E-2</v>
      </c>
      <c r="J132" s="481">
        <f t="shared" si="27"/>
        <v>1.8377781098336321E-2</v>
      </c>
      <c r="K132" s="286">
        <f t="shared" si="28"/>
        <v>4.4353021059312381E-2</v>
      </c>
      <c r="L132" s="287">
        <f t="shared" si="29"/>
        <v>0.42942433653974721</v>
      </c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</row>
    <row r="133" spans="1:23" ht="12.75" thickBot="1" x14ac:dyDescent="0.25">
      <c r="A133" s="645"/>
      <c r="B133" s="240" t="s">
        <v>184</v>
      </c>
      <c r="C133" s="297">
        <f>C131+C132</f>
        <v>2950705.025386279</v>
      </c>
      <c r="D133" s="289">
        <f t="shared" si="26"/>
        <v>7.29202376646505E-2</v>
      </c>
      <c r="E133" s="297">
        <f>E131+E132</f>
        <v>3147994.3333852901</v>
      </c>
      <c r="F133" s="291">
        <f t="shared" si="27"/>
        <v>6.6861752124200757E-2</v>
      </c>
      <c r="G133" s="292">
        <f t="shared" si="27"/>
        <v>8.3368889308514937E-2</v>
      </c>
      <c r="H133" s="292">
        <f t="shared" si="27"/>
        <v>2.0994475992078598E-2</v>
      </c>
      <c r="I133" s="292">
        <f t="shared" si="27"/>
        <v>2.2853566136001424E-2</v>
      </c>
      <c r="J133" s="293">
        <f t="shared" si="27"/>
        <v>2.2700810469443056E-2</v>
      </c>
      <c r="K133" s="294">
        <f t="shared" si="28"/>
        <v>4.3023257110352375E-2</v>
      </c>
      <c r="L133" s="295">
        <f t="shared" si="29"/>
        <v>0.51880409470074895</v>
      </c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</row>
    <row r="134" spans="1:23" ht="13.5" customHeight="1" thickBot="1" x14ac:dyDescent="0.25">
      <c r="A134" s="646" t="s">
        <v>205</v>
      </c>
      <c r="B134" s="647"/>
      <c r="C134" s="299">
        <f>C124+C127+C130+C133</f>
        <v>24469533.348079693</v>
      </c>
      <c r="D134" s="524">
        <f t="shared" si="26"/>
        <v>5.2479935871406314E-2</v>
      </c>
      <c r="E134" s="525">
        <f>E124+E127+E130+E133</f>
        <v>25915134.958689369</v>
      </c>
      <c r="F134" s="526">
        <f t="shared" si="27"/>
        <v>5.9077612557867587E-2</v>
      </c>
      <c r="G134" s="301">
        <f t="shared" si="27"/>
        <v>3.691130981074342E-2</v>
      </c>
      <c r="H134" s="301">
        <f t="shared" si="27"/>
        <v>1.9334204508228758E-2</v>
      </c>
      <c r="I134" s="301">
        <f t="shared" si="27"/>
        <v>2.1030625979060469E-2</v>
      </c>
      <c r="J134" s="302">
        <f t="shared" si="27"/>
        <v>2.1016393322632165E-2</v>
      </c>
      <c r="K134" s="486">
        <f t="shared" si="28"/>
        <v>3.1362879061551219E-2</v>
      </c>
      <c r="L134" s="295">
        <f t="shared" si="29"/>
        <v>3.1362879061551219</v>
      </c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</row>
    <row r="135" spans="1:23" ht="12.75" thickBot="1" x14ac:dyDescent="0.25">
      <c r="A135" s="267"/>
      <c r="B135" s="303" t="s">
        <v>222</v>
      </c>
      <c r="C135" s="527">
        <f>D113</f>
        <v>5156273.1947461711</v>
      </c>
      <c r="D135" s="304">
        <f t="shared" si="26"/>
        <v>0.10243270160791029</v>
      </c>
      <c r="E135" s="284">
        <f>E113</f>
        <v>5527400.9513599472</v>
      </c>
      <c r="F135" s="305">
        <f t="shared" si="27"/>
        <v>7.19759684168646E-2</v>
      </c>
      <c r="G135" s="305">
        <f t="shared" si="27"/>
        <v>3.4394854229980121E-2</v>
      </c>
      <c r="H135" s="305">
        <f t="shared" si="27"/>
        <v>4.1922499977666838E-2</v>
      </c>
      <c r="I135" s="305">
        <f t="shared" si="27"/>
        <v>4.4068296149053943E-2</v>
      </c>
      <c r="J135" s="306">
        <f t="shared" si="27"/>
        <v>4.3806238113916596E-2</v>
      </c>
      <c r="K135" s="307">
        <f t="shared" si="28"/>
        <v>4.7155366484916694E-2</v>
      </c>
      <c r="L135" s="308">
        <f t="shared" si="29"/>
        <v>0.99366812082539946</v>
      </c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</row>
    <row r="136" spans="1:23" ht="12.75" thickBot="1" x14ac:dyDescent="0.25">
      <c r="A136" s="269"/>
      <c r="B136" s="279" t="s">
        <v>223</v>
      </c>
      <c r="C136" s="528">
        <f t="shared" ref="C136" si="30">D114</f>
        <v>19313260.153333522</v>
      </c>
      <c r="D136" s="529">
        <f t="shared" si="26"/>
        <v>3.9899973341139816E-2</v>
      </c>
      <c r="E136" s="530">
        <f>E114</f>
        <v>20387734.007329423</v>
      </c>
      <c r="F136" s="531">
        <f>E114/D114-1</f>
        <v>5.5633996822149312E-2</v>
      </c>
      <c r="G136" s="531">
        <f t="shared" si="27"/>
        <v>3.7593556251969584E-2</v>
      </c>
      <c r="H136" s="531">
        <f t="shared" si="27"/>
        <v>1.3229079577164349E-2</v>
      </c>
      <c r="I136" s="531">
        <f t="shared" si="27"/>
        <v>1.4627715604365488E-2</v>
      </c>
      <c r="J136" s="532">
        <f t="shared" si="27"/>
        <v>1.4498572445311053E-2</v>
      </c>
      <c r="K136" s="309">
        <f t="shared" si="28"/>
        <v>2.6978350136398488E-2</v>
      </c>
      <c r="L136" s="310">
        <f>(C136/$C$134)*K136*100</f>
        <v>2.1293413620937516</v>
      </c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</row>
    <row r="139" spans="1:23" x14ac:dyDescent="0.2">
      <c r="E139" s="533"/>
    </row>
  </sheetData>
  <mergeCells count="32">
    <mergeCell ref="L119:L120"/>
    <mergeCell ref="A125:A127"/>
    <mergeCell ref="A128:A130"/>
    <mergeCell ref="K73:K74"/>
    <mergeCell ref="A88:B88"/>
    <mergeCell ref="A131:A133"/>
    <mergeCell ref="A134:B134"/>
    <mergeCell ref="E119:J119"/>
    <mergeCell ref="K119:K120"/>
    <mergeCell ref="K28:K29"/>
    <mergeCell ref="A99:A102"/>
    <mergeCell ref="A103:A105"/>
    <mergeCell ref="A106:A108"/>
    <mergeCell ref="A109:A111"/>
    <mergeCell ref="A112:B112"/>
    <mergeCell ref="C119:D119"/>
    <mergeCell ref="L28:L29"/>
    <mergeCell ref="A51:A52"/>
    <mergeCell ref="E51:I51"/>
    <mergeCell ref="A63:A65"/>
    <mergeCell ref="E97:I97"/>
    <mergeCell ref="C73:D73"/>
    <mergeCell ref="E73:J73"/>
    <mergeCell ref="A60:A62"/>
    <mergeCell ref="A97:A98"/>
    <mergeCell ref="A6:B7"/>
    <mergeCell ref="E6:I6"/>
    <mergeCell ref="A21:B21"/>
    <mergeCell ref="A53:A56"/>
    <mergeCell ref="A57:A59"/>
    <mergeCell ref="C28:D28"/>
    <mergeCell ref="E28:J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zoomScaleNormal="100" workbookViewId="0">
      <pane xSplit="1" topLeftCell="B1" activePane="topRight" state="frozen"/>
      <selection pane="topRight"/>
    </sheetView>
  </sheetViews>
  <sheetFormatPr baseColWidth="10" defaultRowHeight="12.75" x14ac:dyDescent="0.2"/>
  <cols>
    <col min="1" max="1" width="25.7109375" bestFit="1" customWidth="1"/>
    <col min="2" max="2" width="18.28515625" bestFit="1" customWidth="1"/>
    <col min="3" max="3" width="9.5703125" customWidth="1"/>
    <col min="4" max="6" width="9.5703125" bestFit="1" customWidth="1"/>
    <col min="7" max="8" width="11.140625" customWidth="1"/>
    <col min="9" max="10" width="9.28515625" customWidth="1"/>
  </cols>
  <sheetData>
    <row r="1" spans="1:15" ht="13.5" thickBot="1" x14ac:dyDescent="0.25">
      <c r="A1" s="312"/>
      <c r="B1" s="313">
        <v>2020</v>
      </c>
      <c r="C1" s="313">
        <f t="shared" ref="C1:G1" si="0">B1+1</f>
        <v>2021</v>
      </c>
      <c r="D1" s="313">
        <f t="shared" si="0"/>
        <v>2022</v>
      </c>
      <c r="E1" s="313">
        <f t="shared" si="0"/>
        <v>2023</v>
      </c>
      <c r="F1" s="313">
        <f t="shared" si="0"/>
        <v>2024</v>
      </c>
      <c r="G1" s="313">
        <f t="shared" si="0"/>
        <v>2025</v>
      </c>
      <c r="H1" s="313">
        <f>G1+1</f>
        <v>2026</v>
      </c>
      <c r="I1" s="313">
        <f>H1+1</f>
        <v>2027</v>
      </c>
    </row>
    <row r="2" spans="1:15" ht="13.5" thickBot="1" x14ac:dyDescent="0.25">
      <c r="A2" s="69" t="s">
        <v>31</v>
      </c>
      <c r="B2" s="414">
        <f>+[1]Effectifs!$J$10</f>
        <v>1914251</v>
      </c>
      <c r="C2" s="415">
        <f>[1]Effectifs!$L$10</f>
        <v>1934245</v>
      </c>
      <c r="D2" s="416">
        <f>[1]Effectifs!$N$10</f>
        <v>1942318</v>
      </c>
      <c r="E2" s="416">
        <f>[1]Effectifs!$P$10</f>
        <v>1942512</v>
      </c>
      <c r="F2" s="416">
        <f>[1]Effectifs!$R$10</f>
        <v>1942706</v>
      </c>
      <c r="G2" s="416">
        <f>[1]Effectifs!$T$10</f>
        <v>1942901</v>
      </c>
      <c r="H2" s="416">
        <f>[1]Effectifs!$V$10</f>
        <v>1943095</v>
      </c>
      <c r="I2" s="416">
        <f>[1]Effectifs!$X$10</f>
        <v>1943289</v>
      </c>
      <c r="K2" s="153" t="s">
        <v>109</v>
      </c>
      <c r="L2" s="153"/>
      <c r="M2" s="153"/>
      <c r="N2" s="153"/>
      <c r="O2" s="153"/>
    </row>
    <row r="3" spans="1:15" ht="23.25" thickBot="1" x14ac:dyDescent="0.25">
      <c r="A3" s="70" t="s">
        <v>111</v>
      </c>
      <c r="B3" s="422">
        <f>'[2]Famille SA - 1'!$B$15</f>
        <v>154451</v>
      </c>
      <c r="C3" s="420">
        <f>'[3]Famille SA - 1'!$B$15</f>
        <v>153728</v>
      </c>
      <c r="D3" s="421">
        <f>'[3]Famille SA - 1'!$C$15</f>
        <v>151837</v>
      </c>
      <c r="E3" s="421">
        <f>'[3]Famille SA - 1'!$D$15</f>
        <v>150390</v>
      </c>
      <c r="F3" s="421">
        <f>'[3]Famille SA - 1'!$E$15</f>
        <v>149061</v>
      </c>
      <c r="G3" s="421">
        <f>'[3]Famille SA - 1'!$F$15</f>
        <v>147537</v>
      </c>
      <c r="H3" s="421">
        <f>'[3]Famille SA - 1'!$G$15</f>
        <v>146128</v>
      </c>
      <c r="I3" s="421">
        <f>'[3]Famille SA - 1'!$H$15</f>
        <v>144734</v>
      </c>
      <c r="K3" s="153" t="s">
        <v>110</v>
      </c>
      <c r="L3" s="153"/>
      <c r="M3" s="153"/>
      <c r="N3" s="153"/>
      <c r="O3" s="153"/>
    </row>
    <row r="4" spans="1:15" ht="23.25" thickBot="1" x14ac:dyDescent="0.25">
      <c r="A4" s="184" t="s">
        <v>151</v>
      </c>
      <c r="B4" s="417">
        <f>[1]Effectifs!$J$16</f>
        <v>2396379</v>
      </c>
      <c r="C4" s="418">
        <f>[1]Effectifs!$L$16</f>
        <v>2335989</v>
      </c>
      <c r="D4" s="419">
        <f>[1]Effectifs!$N$16</f>
        <v>2288162</v>
      </c>
      <c r="E4" s="419">
        <f>[1]Effectifs!$P$16</f>
        <v>2242288</v>
      </c>
      <c r="F4" s="419">
        <f>[1]Effectifs!$R$16</f>
        <v>2197802</v>
      </c>
      <c r="G4" s="419">
        <f>[1]Effectifs!$T$16</f>
        <v>2153949</v>
      </c>
      <c r="H4" s="419">
        <f>[1]Effectifs!$V$16</f>
        <v>2114122</v>
      </c>
      <c r="I4" s="419">
        <f>[1]Effectifs!$X$16</f>
        <v>2080504</v>
      </c>
      <c r="K4" s="153"/>
      <c r="L4" s="153"/>
      <c r="M4" s="153"/>
      <c r="N4" s="153"/>
      <c r="O4" s="153"/>
    </row>
    <row r="5" spans="1:15" ht="13.5" thickBot="1" x14ac:dyDescent="0.25">
      <c r="A5" s="311" t="s">
        <v>96</v>
      </c>
      <c r="B5" s="415">
        <f>[1]Effectifs!$J$20</f>
        <v>29784</v>
      </c>
      <c r="C5" s="415">
        <f>[1]Effectifs!$L$20</f>
        <v>29893</v>
      </c>
      <c r="D5" s="415">
        <f>[1]Effectifs!$N$20</f>
        <v>29805</v>
      </c>
      <c r="E5" s="415">
        <f>[1]Effectifs!$P$20</f>
        <v>29743.771887204388</v>
      </c>
      <c r="F5" s="415">
        <f>[1]Effectifs!$R$20</f>
        <v>29801.511067765114</v>
      </c>
      <c r="G5" s="415">
        <f>[1]Effectifs!$T$20</f>
        <v>29939.067540565418</v>
      </c>
      <c r="H5" s="415">
        <f>[1]Effectifs!$V$20</f>
        <v>30148.693417276369</v>
      </c>
      <c r="I5" s="415">
        <f>[1]Effectifs!$X$20</f>
        <v>30423.638570596326</v>
      </c>
    </row>
    <row r="6" spans="1:15" ht="13.5" thickBot="1" x14ac:dyDescent="0.25">
      <c r="A6" s="167" t="s">
        <v>120</v>
      </c>
      <c r="B6" s="414">
        <f>[1]Effectifs!$J$22</f>
        <v>685102.42205866345</v>
      </c>
      <c r="C6" s="415">
        <f>[1]Effectifs!$L$22</f>
        <v>714686</v>
      </c>
      <c r="D6" s="416">
        <f>[1]Effectifs!$N$22</f>
        <v>737934</v>
      </c>
      <c r="E6" s="416">
        <f>[1]Effectifs!$P$22</f>
        <v>754895</v>
      </c>
      <c r="F6" s="416">
        <f>[1]Effectifs!$R$22</f>
        <v>767478</v>
      </c>
      <c r="G6" s="416">
        <f>[1]Effectifs!$T$22</f>
        <v>774863</v>
      </c>
      <c r="H6" s="416">
        <f>[1]Effectifs!$V$22</f>
        <v>782415</v>
      </c>
      <c r="I6" s="416">
        <f>[1]Effectifs!$X$22</f>
        <v>790138</v>
      </c>
    </row>
    <row r="7" spans="1:15" x14ac:dyDescent="0.2">
      <c r="C7" s="160"/>
      <c r="D7" s="160"/>
      <c r="H7" s="160"/>
      <c r="I7" s="160"/>
    </row>
    <row r="8" spans="1:15" ht="13.5" thickBot="1" x14ac:dyDescent="0.25"/>
    <row r="9" spans="1:15" x14ac:dyDescent="0.2">
      <c r="A9" s="573"/>
      <c r="B9" s="575" t="s">
        <v>1</v>
      </c>
      <c r="C9" s="576"/>
      <c r="D9" s="576"/>
      <c r="E9" s="576"/>
      <c r="F9" s="576"/>
      <c r="G9" s="576"/>
      <c r="H9" s="576"/>
      <c r="I9" s="363"/>
    </row>
    <row r="10" spans="1:15" ht="36.75" thickBot="1" x14ac:dyDescent="0.25">
      <c r="A10" s="574"/>
      <c r="B10" s="314" t="s">
        <v>121</v>
      </c>
      <c r="C10" s="314" t="s">
        <v>150</v>
      </c>
      <c r="D10" s="314" t="s">
        <v>154</v>
      </c>
      <c r="E10" s="314" t="s">
        <v>174</v>
      </c>
      <c r="F10" s="314" t="s">
        <v>220</v>
      </c>
      <c r="G10" s="314" t="s">
        <v>237</v>
      </c>
      <c r="H10" s="314" t="s">
        <v>266</v>
      </c>
      <c r="I10" s="314" t="s">
        <v>103</v>
      </c>
    </row>
    <row r="11" spans="1:15" ht="13.5" thickBot="1" x14ac:dyDescent="0.25">
      <c r="A11" s="69" t="s">
        <v>31</v>
      </c>
      <c r="B11" s="315">
        <f>C2/B2-1</f>
        <v>1.0444816275399615E-2</v>
      </c>
      <c r="C11" s="315">
        <f t="shared" ref="B11:F13" si="1">D2/C2-1</f>
        <v>4.1737215295891694E-3</v>
      </c>
      <c r="D11" s="315">
        <f t="shared" si="1"/>
        <v>9.9880658058992822E-5</v>
      </c>
      <c r="E11" s="315">
        <f t="shared" si="1"/>
        <v>9.9870682909619646E-5</v>
      </c>
      <c r="F11" s="315">
        <f>G2/F2-1</f>
        <v>1.0037545567875839E-4</v>
      </c>
      <c r="G11" s="315">
        <f>H2/G2-1</f>
        <v>9.9850687194091847E-5</v>
      </c>
      <c r="H11" s="315">
        <f>I2/H2-1</f>
        <v>9.9840718029708952E-5</v>
      </c>
      <c r="I11" s="316">
        <f>((I2/D2)^(1/5))-1</f>
        <v>9.9963640352918048E-5</v>
      </c>
      <c r="J11" s="161" t="s">
        <v>112</v>
      </c>
    </row>
    <row r="12" spans="1:15" ht="23.25" thickBot="1" x14ac:dyDescent="0.25">
      <c r="A12" s="70" t="str">
        <f>A3</f>
        <v>Familles bénéficiaires de prestations familiales dans l'année</v>
      </c>
      <c r="B12" s="315">
        <f t="shared" si="1"/>
        <v>-4.6810962700144509E-3</v>
      </c>
      <c r="C12" s="315">
        <f t="shared" si="1"/>
        <v>-1.2300947127393824E-2</v>
      </c>
      <c r="D12" s="315">
        <f t="shared" si="1"/>
        <v>-9.5299564664739211E-3</v>
      </c>
      <c r="E12" s="315">
        <f t="shared" si="1"/>
        <v>-8.8370237382804362E-3</v>
      </c>
      <c r="F12" s="315">
        <f t="shared" si="1"/>
        <v>-1.0224002254110687E-2</v>
      </c>
      <c r="G12" s="315">
        <f t="shared" ref="G12:H15" si="2">H3/G3-1</f>
        <v>-9.550146742850929E-3</v>
      </c>
      <c r="H12" s="315">
        <f t="shared" si="2"/>
        <v>-9.5395817365597768E-3</v>
      </c>
      <c r="I12" s="316">
        <f>((I3/D3)^(1/5))-1</f>
        <v>-9.5362393293678682E-3</v>
      </c>
      <c r="J12" s="161" t="s">
        <v>113</v>
      </c>
    </row>
    <row r="13" spans="1:15" ht="23.25" thickBot="1" x14ac:dyDescent="0.25">
      <c r="A13" s="185" t="str">
        <f>A4</f>
        <v>Bénéficiaires de pensions vieillesse</v>
      </c>
      <c r="B13" s="317">
        <f t="shared" si="1"/>
        <v>-2.5200521286490973E-2</v>
      </c>
      <c r="C13" s="317">
        <f t="shared" si="1"/>
        <v>-2.047398339632589E-2</v>
      </c>
      <c r="D13" s="317">
        <f t="shared" si="1"/>
        <v>-2.0048405663585012E-2</v>
      </c>
      <c r="E13" s="317">
        <f t="shared" si="1"/>
        <v>-1.9839556738474262E-2</v>
      </c>
      <c r="F13" s="317">
        <f t="shared" si="1"/>
        <v>-1.995311679578049E-2</v>
      </c>
      <c r="G13" s="317">
        <f t="shared" si="2"/>
        <v>-1.8490224234649966E-2</v>
      </c>
      <c r="H13" s="317">
        <f t="shared" si="2"/>
        <v>-1.5901636707815303E-2</v>
      </c>
      <c r="I13" s="316">
        <f>((I4/D4)^(1/5))-1</f>
        <v>-1.8847855913925904E-2</v>
      </c>
      <c r="J13" s="161" t="s">
        <v>114</v>
      </c>
    </row>
    <row r="14" spans="1:15" ht="23.25" thickBot="1" x14ac:dyDescent="0.25">
      <c r="A14" s="214" t="str">
        <f>A5</f>
        <v>Bénéficiaires de pensions d'invalidité</v>
      </c>
      <c r="B14" s="215">
        <f t="shared" ref="B14:F14" si="3">C5/B5-1</f>
        <v>3.659683051302709E-3</v>
      </c>
      <c r="C14" s="215">
        <f t="shared" si="3"/>
        <v>-2.9438330043822791E-3</v>
      </c>
      <c r="D14" s="215">
        <f t="shared" si="3"/>
        <v>-2.0542899780443546E-3</v>
      </c>
      <c r="E14" s="215">
        <f t="shared" si="3"/>
        <v>1.9412191829497605E-3</v>
      </c>
      <c r="F14" s="215">
        <f t="shared" si="3"/>
        <v>4.6157549691865363E-3</v>
      </c>
      <c r="G14" s="215">
        <f t="shared" si="2"/>
        <v>7.0017503526762503E-3</v>
      </c>
      <c r="H14" s="215">
        <f t="shared" si="2"/>
        <v>9.1196374421453896E-3</v>
      </c>
      <c r="I14" s="216">
        <f>((I5/D5)^(1/5))-1</f>
        <v>4.1171976934764043E-3</v>
      </c>
    </row>
    <row r="15" spans="1:15" ht="23.25" thickBot="1" x14ac:dyDescent="0.25">
      <c r="A15" s="168" t="str">
        <f>A6</f>
        <v>Actifs cotisants vieillesse au 1er juillet</v>
      </c>
      <c r="B15" s="315">
        <f t="shared" ref="B15:F15" si="4">C6/B6-1</f>
        <v>4.318124850944316E-2</v>
      </c>
      <c r="C15" s="315">
        <f>D6/C6-1</f>
        <v>3.2528970764783338E-2</v>
      </c>
      <c r="D15" s="315">
        <f t="shared" si="4"/>
        <v>2.2984440342903367E-2</v>
      </c>
      <c r="E15" s="315">
        <f t="shared" si="4"/>
        <v>1.6668543307347461E-2</v>
      </c>
      <c r="F15" s="315">
        <f t="shared" si="4"/>
        <v>9.6224256591068702E-3</v>
      </c>
      <c r="G15" s="315">
        <f t="shared" si="2"/>
        <v>9.7462390125737652E-3</v>
      </c>
      <c r="H15" s="315">
        <f t="shared" si="2"/>
        <v>9.8707207811710163E-3</v>
      </c>
      <c r="I15" s="316">
        <f>((I6/D6)^(1/5))-1</f>
        <v>1.3764515342496342E-2</v>
      </c>
      <c r="J15" s="161" t="s">
        <v>115</v>
      </c>
    </row>
    <row r="16" spans="1:15" x14ac:dyDescent="0.2">
      <c r="A16" s="333" t="s">
        <v>24</v>
      </c>
    </row>
    <row r="18" spans="1:9" x14ac:dyDescent="0.2">
      <c r="H18" s="176"/>
      <c r="I18" s="176"/>
    </row>
    <row r="19" spans="1:9" ht="13.5" thickBot="1" x14ac:dyDescent="0.25"/>
    <row r="20" spans="1:9" ht="13.5" thickBot="1" x14ac:dyDescent="0.25">
      <c r="A20" s="247" t="s">
        <v>212</v>
      </c>
      <c r="B20" s="247" t="s">
        <v>213</v>
      </c>
    </row>
    <row r="21" spans="1:9" ht="13.5" thickBot="1" x14ac:dyDescent="0.25">
      <c r="A21" s="406" t="s">
        <v>24</v>
      </c>
      <c r="B21" s="407" t="s">
        <v>208</v>
      </c>
    </row>
    <row r="22" spans="1:9" ht="13.5" thickBot="1" x14ac:dyDescent="0.25">
      <c r="A22" s="408" t="s">
        <v>25</v>
      </c>
      <c r="B22" s="407" t="s">
        <v>209</v>
      </c>
    </row>
    <row r="23" spans="1:9" x14ac:dyDescent="0.2">
      <c r="A23" s="408" t="s">
        <v>214</v>
      </c>
      <c r="B23" s="407" t="s">
        <v>211</v>
      </c>
    </row>
    <row r="24" spans="1:9" x14ac:dyDescent="0.2">
      <c r="A24" s="408" t="s">
        <v>163</v>
      </c>
      <c r="B24" s="409" t="s">
        <v>215</v>
      </c>
    </row>
    <row r="25" spans="1:9" ht="13.5" thickBot="1" x14ac:dyDescent="0.25">
      <c r="A25" s="408" t="s">
        <v>175</v>
      </c>
      <c r="B25" s="409" t="s">
        <v>236</v>
      </c>
    </row>
    <row r="26" spans="1:9" hidden="1" x14ac:dyDescent="0.2">
      <c r="A26" s="408" t="s">
        <v>166</v>
      </c>
      <c r="B26" s="409" t="s">
        <v>215</v>
      </c>
    </row>
    <row r="27" spans="1:9" hidden="1" x14ac:dyDescent="0.2">
      <c r="A27" s="408" t="s">
        <v>176</v>
      </c>
      <c r="B27" s="409" t="s">
        <v>211</v>
      </c>
    </row>
    <row r="28" spans="1:9" hidden="1" x14ac:dyDescent="0.2">
      <c r="A28" s="408" t="s">
        <v>170</v>
      </c>
      <c r="B28" s="409" t="s">
        <v>211</v>
      </c>
    </row>
    <row r="29" spans="1:9" hidden="1" x14ac:dyDescent="0.2">
      <c r="A29" s="408" t="s">
        <v>172</v>
      </c>
      <c r="B29" s="409" t="s">
        <v>216</v>
      </c>
    </row>
    <row r="30" spans="1:9" ht="13.5" hidden="1" thickBot="1" x14ac:dyDescent="0.25">
      <c r="A30" s="410" t="s">
        <v>217</v>
      </c>
      <c r="B30" s="411" t="s">
        <v>218</v>
      </c>
    </row>
    <row r="31" spans="1:9" x14ac:dyDescent="0.2">
      <c r="A31" s="406" t="s">
        <v>178</v>
      </c>
      <c r="B31" s="407" t="s">
        <v>215</v>
      </c>
    </row>
    <row r="32" spans="1:9" x14ac:dyDescent="0.2">
      <c r="A32" s="408" t="s">
        <v>161</v>
      </c>
      <c r="B32" s="409" t="s">
        <v>209</v>
      </c>
    </row>
    <row r="33" spans="1:2" x14ac:dyDescent="0.2">
      <c r="A33" s="408" t="s">
        <v>162</v>
      </c>
      <c r="B33" s="409" t="s">
        <v>210</v>
      </c>
    </row>
    <row r="34" spans="1:2" x14ac:dyDescent="0.2">
      <c r="A34" s="408" t="s">
        <v>164</v>
      </c>
      <c r="B34" s="409" t="s">
        <v>211</v>
      </c>
    </row>
    <row r="35" spans="1:2" x14ac:dyDescent="0.2">
      <c r="A35" s="408" t="s">
        <v>165</v>
      </c>
      <c r="B35" s="409" t="s">
        <v>215</v>
      </c>
    </row>
    <row r="36" spans="1:2" x14ac:dyDescent="0.2">
      <c r="A36" s="408" t="s">
        <v>168</v>
      </c>
      <c r="B36" s="409" t="s">
        <v>215</v>
      </c>
    </row>
    <row r="37" spans="1:2" x14ac:dyDescent="0.2">
      <c r="A37" s="408" t="s">
        <v>169</v>
      </c>
      <c r="B37" s="409" t="s">
        <v>210</v>
      </c>
    </row>
    <row r="38" spans="1:2" x14ac:dyDescent="0.2">
      <c r="A38" s="408" t="s">
        <v>262</v>
      </c>
      <c r="B38" s="409" t="s">
        <v>11</v>
      </c>
    </row>
    <row r="39" spans="1:2" hidden="1" x14ac:dyDescent="0.2">
      <c r="A39" s="248" t="s">
        <v>171</v>
      </c>
      <c r="B39" s="249" t="s">
        <v>216</v>
      </c>
    </row>
    <row r="40" spans="1:2" ht="13.5" hidden="1" thickBot="1" x14ac:dyDescent="0.25">
      <c r="A40" s="250" t="s">
        <v>219</v>
      </c>
      <c r="B40" s="251" t="s">
        <v>216</v>
      </c>
    </row>
  </sheetData>
  <mergeCells count="2">
    <mergeCell ref="A9:A10"/>
    <mergeCell ref="B9:H9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A1:S70"/>
  <sheetViews>
    <sheetView zoomScale="90" zoomScaleNormal="90" workbookViewId="0"/>
  </sheetViews>
  <sheetFormatPr baseColWidth="10" defaultRowHeight="12.75" x14ac:dyDescent="0.2"/>
  <cols>
    <col min="1" max="1" width="7" customWidth="1"/>
    <col min="2" max="2" width="26.140625" customWidth="1"/>
    <col min="3" max="3" width="12.5703125" bestFit="1" customWidth="1"/>
    <col min="4" max="4" width="12.42578125" bestFit="1" customWidth="1"/>
    <col min="5" max="5" width="13" bestFit="1" customWidth="1"/>
    <col min="6" max="9" width="12.42578125" bestFit="1" customWidth="1"/>
    <col min="10" max="10" width="2.5703125" style="154" customWidth="1"/>
    <col min="11" max="11" width="27" bestFit="1" customWidth="1"/>
    <col min="12" max="12" width="12.42578125" hidden="1" customWidth="1"/>
    <col min="13" max="13" width="12.42578125" bestFit="1" customWidth="1"/>
  </cols>
  <sheetData>
    <row r="1" spans="1:19" x14ac:dyDescent="0.2">
      <c r="A1" s="27"/>
      <c r="B1" s="186"/>
    </row>
    <row r="3" spans="1:19" ht="14.25" x14ac:dyDescent="0.2">
      <c r="A3" s="578" t="s">
        <v>32</v>
      </c>
      <c r="B3" s="579"/>
      <c r="C3" s="28" t="s">
        <v>23</v>
      </c>
      <c r="D3" s="28" t="s">
        <v>23</v>
      </c>
      <c r="E3" s="580" t="s">
        <v>1</v>
      </c>
      <c r="F3" s="581"/>
      <c r="G3" s="581"/>
      <c r="H3" s="581"/>
      <c r="I3" s="582"/>
      <c r="K3" s="112"/>
      <c r="L3" s="150" t="s">
        <v>23</v>
      </c>
      <c r="M3" s="150" t="s">
        <v>23</v>
      </c>
      <c r="N3" s="577" t="s">
        <v>1</v>
      </c>
      <c r="O3" s="577"/>
      <c r="P3" s="577"/>
      <c r="Q3" s="577"/>
      <c r="R3" s="577"/>
    </row>
    <row r="4" spans="1:19" ht="14.25" x14ac:dyDescent="0.2">
      <c r="A4" s="30"/>
      <c r="B4" s="36" t="s">
        <v>2</v>
      </c>
      <c r="C4" s="33">
        <v>2021</v>
      </c>
      <c r="D4" s="32">
        <f>C4+1</f>
        <v>2022</v>
      </c>
      <c r="E4" s="32" t="s">
        <v>155</v>
      </c>
      <c r="F4" s="32" t="s">
        <v>173</v>
      </c>
      <c r="G4" s="32" t="s">
        <v>221</v>
      </c>
      <c r="H4" s="32" t="s">
        <v>238</v>
      </c>
      <c r="I4" s="32" t="s">
        <v>267</v>
      </c>
      <c r="K4" s="112"/>
      <c r="L4" s="150">
        <f>C4</f>
        <v>2021</v>
      </c>
      <c r="M4" s="150">
        <f t="shared" ref="M4:R4" si="0">L4+1</f>
        <v>2022</v>
      </c>
      <c r="N4" s="150">
        <f t="shared" si="0"/>
        <v>2023</v>
      </c>
      <c r="O4" s="150">
        <f t="shared" si="0"/>
        <v>2024</v>
      </c>
      <c r="P4" s="150">
        <f t="shared" si="0"/>
        <v>2025</v>
      </c>
      <c r="Q4" s="150">
        <f t="shared" si="0"/>
        <v>2026</v>
      </c>
      <c r="R4" s="150">
        <f t="shared" si="0"/>
        <v>2027</v>
      </c>
    </row>
    <row r="5" spans="1:19" x14ac:dyDescent="0.2">
      <c r="A5" s="7"/>
      <c r="B5" s="8" t="s">
        <v>3</v>
      </c>
      <c r="C5" s="51">
        <f>[4]Maladie!$H$6</f>
        <v>5880.6084375599994</v>
      </c>
      <c r="D5" s="51">
        <f>[4]Maladie!$I$6</f>
        <v>6106.6009445300006</v>
      </c>
      <c r="E5" s="367">
        <f>[4]Maladie!$R$6</f>
        <v>6010.9027175750416</v>
      </c>
      <c r="F5" s="368">
        <f>[4]Maladie!$W$6</f>
        <v>6179.0660861673323</v>
      </c>
      <c r="G5" s="368">
        <f>[4]Maladie!$AB$6</f>
        <v>6297.9188820518339</v>
      </c>
      <c r="H5" s="368">
        <f>[4]Maladie!$AG$6</f>
        <v>6449.1207924532446</v>
      </c>
      <c r="I5" s="368">
        <f>[4]Maladie!$AL$6</f>
        <v>6588.8795054888024</v>
      </c>
      <c r="K5" s="43" t="s">
        <v>105</v>
      </c>
      <c r="L5" s="257">
        <f t="shared" ref="L5:R7" si="1">C11-C5</f>
        <v>0</v>
      </c>
      <c r="M5" s="257">
        <f t="shared" si="1"/>
        <v>0</v>
      </c>
      <c r="N5" s="257">
        <f t="shared" si="1"/>
        <v>0</v>
      </c>
      <c r="O5" s="257">
        <f t="shared" si="1"/>
        <v>0</v>
      </c>
      <c r="P5" s="257">
        <f t="shared" si="1"/>
        <v>0</v>
      </c>
      <c r="Q5" s="257">
        <f t="shared" si="1"/>
        <v>0</v>
      </c>
      <c r="R5" s="257">
        <f t="shared" si="1"/>
        <v>0</v>
      </c>
    </row>
    <row r="6" spans="1:19" x14ac:dyDescent="0.2">
      <c r="A6" s="12"/>
      <c r="B6" s="13" t="s">
        <v>33</v>
      </c>
      <c r="C6" s="428">
        <f>[4]AT!$H$6</f>
        <v>725.69352690000005</v>
      </c>
      <c r="D6" s="428">
        <f>[4]AT!$I$6</f>
        <v>740.97023516000002</v>
      </c>
      <c r="E6" s="428">
        <f>[4]AT!$R$6</f>
        <v>761.11148401653543</v>
      </c>
      <c r="F6" s="428">
        <f>[4]AT!$W$6</f>
        <v>783.88047217580879</v>
      </c>
      <c r="G6" s="428">
        <f>[4]AT!$AB$6</f>
        <v>807.88235513572079</v>
      </c>
      <c r="H6" s="428">
        <f>[4]AT!$AG$6</f>
        <v>833.47314352417618</v>
      </c>
      <c r="I6" s="428">
        <f>[4]AT!$AL$6</f>
        <v>861.39954133256526</v>
      </c>
      <c r="K6" s="43" t="s">
        <v>106</v>
      </c>
      <c r="L6" s="258">
        <f t="shared" si="1"/>
        <v>31.009118019999846</v>
      </c>
      <c r="M6" s="535">
        <f t="shared" si="1"/>
        <v>59.604045509999992</v>
      </c>
      <c r="N6" s="535">
        <f t="shared" si="1"/>
        <v>59.560373181025966</v>
      </c>
      <c r="O6" s="535">
        <f t="shared" si="1"/>
        <v>57.273537321953313</v>
      </c>
      <c r="P6" s="535">
        <f t="shared" si="1"/>
        <v>51.569307754655824</v>
      </c>
      <c r="Q6" s="535">
        <f t="shared" si="1"/>
        <v>42.7384242556044</v>
      </c>
      <c r="R6" s="535">
        <f t="shared" si="1"/>
        <v>32.032395654553397</v>
      </c>
    </row>
    <row r="7" spans="1:19" x14ac:dyDescent="0.2">
      <c r="A7" s="10"/>
      <c r="B7" s="11" t="s">
        <v>5</v>
      </c>
      <c r="C7" s="430">
        <f>[4]Famille!$H$6</f>
        <v>953.31687942999997</v>
      </c>
      <c r="D7" s="430">
        <f>[4]Famille!$I$6</f>
        <v>1023.51358857</v>
      </c>
      <c r="E7" s="430">
        <f>[4]Famille!$R$6</f>
        <v>1023.2470491617455</v>
      </c>
      <c r="F7" s="430">
        <f>[4]Famille!$W$6</f>
        <v>1007.4754968821379</v>
      </c>
      <c r="G7" s="430">
        <f>[4]Famille!$AB$6</f>
        <v>1019.235875343388</v>
      </c>
      <c r="H7" s="430">
        <f>[4]Famille!$AG$6</f>
        <v>1030.2775893922976</v>
      </c>
      <c r="I7" s="430">
        <f>[4]Famille!$AL$6</f>
        <v>1040.5134163048506</v>
      </c>
      <c r="K7" s="43" t="s">
        <v>107</v>
      </c>
      <c r="L7" s="258">
        <f t="shared" si="1"/>
        <v>0</v>
      </c>
      <c r="M7" s="258">
        <f t="shared" si="1"/>
        <v>0</v>
      </c>
      <c r="N7" s="258">
        <f t="shared" si="1"/>
        <v>0</v>
      </c>
      <c r="O7" s="258">
        <f t="shared" si="1"/>
        <v>0</v>
      </c>
      <c r="P7" s="258">
        <f t="shared" si="1"/>
        <v>0</v>
      </c>
      <c r="Q7" s="258">
        <f t="shared" si="1"/>
        <v>0</v>
      </c>
      <c r="R7" s="258">
        <f t="shared" si="1"/>
        <v>0</v>
      </c>
    </row>
    <row r="8" spans="1:19" x14ac:dyDescent="0.2">
      <c r="A8" s="245"/>
      <c r="B8" s="246" t="s">
        <v>4</v>
      </c>
      <c r="C8" s="431">
        <f>[4]Vieillesse!$H$6</f>
        <v>6805.3324983500024</v>
      </c>
      <c r="D8" s="431">
        <f>[4]Vieillesse!$I$6</f>
        <v>6893.7466213700009</v>
      </c>
      <c r="E8" s="436">
        <v>7191.9539999999997</v>
      </c>
      <c r="F8" s="436">
        <v>7472.6660000000002</v>
      </c>
      <c r="G8" s="436">
        <v>7771.5389999999998</v>
      </c>
      <c r="H8" s="436">
        <v>8013.1310000000003</v>
      </c>
      <c r="I8" s="436">
        <v>8262.7440000000006</v>
      </c>
      <c r="K8" s="43" t="s">
        <v>108</v>
      </c>
      <c r="L8" s="259">
        <f>C14-C8</f>
        <v>0</v>
      </c>
      <c r="M8" s="259">
        <f t="shared" ref="M8:R9" si="2">D14-D8</f>
        <v>0</v>
      </c>
      <c r="N8" s="258">
        <f>E14-E8</f>
        <v>0</v>
      </c>
      <c r="O8" s="258">
        <f>F14-F8</f>
        <v>0</v>
      </c>
      <c r="P8" s="258">
        <f t="shared" si="2"/>
        <v>0</v>
      </c>
      <c r="Q8" s="258">
        <f t="shared" si="2"/>
        <v>0</v>
      </c>
      <c r="R8" s="258">
        <f t="shared" si="2"/>
        <v>0</v>
      </c>
    </row>
    <row r="9" spans="1:19" x14ac:dyDescent="0.2">
      <c r="A9" s="388"/>
      <c r="B9" s="389" t="s">
        <v>244</v>
      </c>
      <c r="C9" s="433">
        <f>[4]SASPA!$H$6</f>
        <v>679.87717814999996</v>
      </c>
      <c r="D9" s="433">
        <f>[4]SASPA!$I$6</f>
        <v>697.76044102999992</v>
      </c>
      <c r="E9" s="433">
        <f>[4]SASPA!$R$6</f>
        <v>711.15579867837289</v>
      </c>
      <c r="F9" s="433">
        <f>[4]SASPA!$W$6</f>
        <v>745.92930829009288</v>
      </c>
      <c r="G9" s="433">
        <f>[4]SASPA!$AB$6</f>
        <v>758.59290006477045</v>
      </c>
      <c r="H9" s="433">
        <f>[4]SASPA!$AG$6</f>
        <v>766.58572842800152</v>
      </c>
      <c r="I9" s="433">
        <f>[4]SASPA!$AL$6</f>
        <v>772.11149670579823</v>
      </c>
      <c r="K9" s="395" t="s">
        <v>248</v>
      </c>
      <c r="L9" s="259">
        <f>C15-C9</f>
        <v>0</v>
      </c>
      <c r="M9" s="259">
        <f t="shared" si="2"/>
        <v>0</v>
      </c>
      <c r="N9" s="259">
        <f t="shared" ref="N9:O9" si="3">E15-E9</f>
        <v>0</v>
      </c>
      <c r="O9" s="259">
        <f t="shared" si="3"/>
        <v>0</v>
      </c>
      <c r="P9" s="259">
        <f t="shared" si="2"/>
        <v>0</v>
      </c>
      <c r="Q9" s="259">
        <f t="shared" si="2"/>
        <v>0</v>
      </c>
      <c r="R9" s="259">
        <f t="shared" si="2"/>
        <v>0</v>
      </c>
    </row>
    <row r="10" spans="1:19" ht="14.25" x14ac:dyDescent="0.2">
      <c r="A10" s="17" t="s">
        <v>20</v>
      </c>
      <c r="B10" s="18"/>
      <c r="C10" s="56">
        <f>SUM(C5:C9)</f>
        <v>15044.828520390001</v>
      </c>
      <c r="D10" s="56">
        <f t="shared" ref="D10:I10" si="4">SUM(D5:D9)</f>
        <v>15462.591830660002</v>
      </c>
      <c r="E10" s="56">
        <f t="shared" si="4"/>
        <v>15698.371049431697</v>
      </c>
      <c r="F10" s="56">
        <f t="shared" si="4"/>
        <v>16189.017363515371</v>
      </c>
      <c r="G10" s="56">
        <f t="shared" si="4"/>
        <v>16655.169012595714</v>
      </c>
      <c r="H10" s="56">
        <f t="shared" si="4"/>
        <v>17092.588253797723</v>
      </c>
      <c r="I10" s="56">
        <f t="shared" si="4"/>
        <v>17525.647959832018</v>
      </c>
      <c r="L10" s="260">
        <f t="shared" ref="L10:R10" si="5">SUM(L5:L8)</f>
        <v>31.009118019999846</v>
      </c>
      <c r="M10" s="369">
        <f t="shared" si="5"/>
        <v>59.604045509999992</v>
      </c>
      <c r="N10" s="260">
        <f t="shared" si="5"/>
        <v>59.560373181025966</v>
      </c>
      <c r="O10" s="260">
        <f t="shared" si="5"/>
        <v>57.273537321953313</v>
      </c>
      <c r="P10" s="260">
        <f t="shared" si="5"/>
        <v>51.569307754655824</v>
      </c>
      <c r="Q10" s="260">
        <f t="shared" si="5"/>
        <v>42.7384242556044</v>
      </c>
      <c r="R10" s="260">
        <f t="shared" si="5"/>
        <v>32.032395654553397</v>
      </c>
    </row>
    <row r="11" spans="1:19" x14ac:dyDescent="0.2">
      <c r="A11" s="7"/>
      <c r="B11" s="8" t="s">
        <v>7</v>
      </c>
      <c r="C11" s="425">
        <f>[4]Maladie!$H$151</f>
        <v>5880.6084375599994</v>
      </c>
      <c r="D11" s="425">
        <f>[4]Maladie!$I$151</f>
        <v>6106.6009445300006</v>
      </c>
      <c r="E11" s="425">
        <f>[4]Maladie!$R$151</f>
        <v>6010.9027175750416</v>
      </c>
      <c r="F11" s="425">
        <f>[4]Maladie!$W$151</f>
        <v>6179.0660861673314</v>
      </c>
      <c r="G11" s="425">
        <f>[4]Maladie!$AB$151</f>
        <v>6297.9188820518339</v>
      </c>
      <c r="H11" s="425">
        <f>[4]Maladie!$AG$151</f>
        <v>6449.1207924532446</v>
      </c>
      <c r="I11" s="425">
        <f>[4]Maladie!$AL$151</f>
        <v>6588.8795054888024</v>
      </c>
      <c r="J11"/>
    </row>
    <row r="12" spans="1:19" ht="14.25" x14ac:dyDescent="0.2">
      <c r="A12" s="10"/>
      <c r="B12" s="11" t="s">
        <v>34</v>
      </c>
      <c r="C12" s="429">
        <f>[4]AT!$H$94</f>
        <v>756.7026449199999</v>
      </c>
      <c r="D12" s="429">
        <f>[4]AT!$I$94</f>
        <v>800.57428067000001</v>
      </c>
      <c r="E12" s="429">
        <f>[4]AT!$R$94</f>
        <v>820.67185719756139</v>
      </c>
      <c r="F12" s="429">
        <f>[4]AT!$W$94</f>
        <v>841.1540094977621</v>
      </c>
      <c r="G12" s="429">
        <f>[4]AT!$AB$94</f>
        <v>859.45166289037661</v>
      </c>
      <c r="H12" s="429">
        <f>[4]AT!$AG$94</f>
        <v>876.21156777978058</v>
      </c>
      <c r="I12" s="429">
        <f>[4]AT!$AL$94</f>
        <v>893.43193698711866</v>
      </c>
      <c r="J12"/>
      <c r="L12" s="560" t="s">
        <v>23</v>
      </c>
      <c r="M12" s="577" t="s">
        <v>23</v>
      </c>
      <c r="N12" s="577"/>
      <c r="O12" s="577" t="s">
        <v>1</v>
      </c>
      <c r="P12" s="577"/>
      <c r="Q12" s="577"/>
      <c r="R12" s="577"/>
      <c r="S12" s="577"/>
    </row>
    <row r="13" spans="1:19" ht="14.25" x14ac:dyDescent="0.2">
      <c r="A13" s="10"/>
      <c r="B13" s="11" t="s">
        <v>9</v>
      </c>
      <c r="C13" s="429">
        <f>[4]Famille!$H$87</f>
        <v>953.31687942999986</v>
      </c>
      <c r="D13" s="429">
        <f>[4]Famille!$I$87</f>
        <v>1023.5135885699997</v>
      </c>
      <c r="E13" s="429">
        <f>[4]Famille!$R$87</f>
        <v>1023.2470491617455</v>
      </c>
      <c r="F13" s="429">
        <f>[4]Famille!$W$87</f>
        <v>1007.4754968821378</v>
      </c>
      <c r="G13" s="429">
        <f>[4]Famille!$AB$87</f>
        <v>1019.2358753433879</v>
      </c>
      <c r="H13" s="429">
        <f>[4]Famille!$AG$87</f>
        <v>1030.2775893922976</v>
      </c>
      <c r="I13" s="429">
        <f>[4]Famille!$AL$87</f>
        <v>1040.5134163048506</v>
      </c>
      <c r="L13" s="559">
        <f>L4</f>
        <v>2021</v>
      </c>
      <c r="M13" s="558">
        <v>2021</v>
      </c>
      <c r="N13" s="558">
        <f>L13+1</f>
        <v>2022</v>
      </c>
      <c r="O13" s="558">
        <f>N13+1</f>
        <v>2023</v>
      </c>
      <c r="P13" s="558">
        <f t="shared" ref="P13" si="6">O13+1</f>
        <v>2024</v>
      </c>
      <c r="Q13" s="558">
        <f t="shared" ref="Q13" si="7">P13+1</f>
        <v>2025</v>
      </c>
      <c r="R13" s="558">
        <f t="shared" ref="R13" si="8">Q13+1</f>
        <v>2026</v>
      </c>
      <c r="S13" s="558">
        <f t="shared" ref="S13" si="9">R13+1</f>
        <v>2027</v>
      </c>
    </row>
    <row r="14" spans="1:19" s="204" customFormat="1" x14ac:dyDescent="0.2">
      <c r="A14" s="217"/>
      <c r="B14" s="244" t="s">
        <v>8</v>
      </c>
      <c r="C14" s="431">
        <f>[4]Vieillesse!$H$102</f>
        <v>6805.3324983500006</v>
      </c>
      <c r="D14" s="431">
        <f>[4]Vieillesse!$I$102</f>
        <v>6893.7466213700009</v>
      </c>
      <c r="E14" s="423">
        <v>7191.9539999999997</v>
      </c>
      <c r="F14" s="423">
        <v>7472.6660000000002</v>
      </c>
      <c r="G14" s="423">
        <v>7771.5389999999998</v>
      </c>
      <c r="H14" s="423">
        <v>8013.1310000000003</v>
      </c>
      <c r="I14" s="423">
        <v>8262.7440000000006</v>
      </c>
      <c r="K14" s="361" t="s">
        <v>232</v>
      </c>
      <c r="L14" s="362">
        <f>[5]Maladie!$H$252</f>
        <v>2672.4198642800002</v>
      </c>
      <c r="M14" s="566">
        <f>[4]Maladie!$H$255</f>
        <v>2684.8293950799998</v>
      </c>
      <c r="N14" s="424">
        <f>[4]Maladie!$I$255</f>
        <v>2740.6044712799999</v>
      </c>
      <c r="O14" s="424">
        <f>[4]Maladie!$R$255</f>
        <v>2441.7913853158561</v>
      </c>
      <c r="P14" s="424">
        <f>[4]Maladie!$W$255</f>
        <v>2482.641347774585</v>
      </c>
      <c r="Q14" s="424">
        <f>[4]Maladie!$AB$255</f>
        <v>2534.6305973228591</v>
      </c>
      <c r="R14" s="424">
        <f>[4]Maladie!$AG$255</f>
        <v>2617.5169890881448</v>
      </c>
      <c r="S14" s="424">
        <f>[4]Maladie!$AL$255</f>
        <v>2693.0815901590663</v>
      </c>
    </row>
    <row r="15" spans="1:19" s="204" customFormat="1" x14ac:dyDescent="0.2">
      <c r="A15" s="322"/>
      <c r="B15" s="390" t="s">
        <v>245</v>
      </c>
      <c r="C15" s="434">
        <v>679.87717815000008</v>
      </c>
      <c r="D15" s="434">
        <v>697.76044103000015</v>
      </c>
      <c r="E15" s="434">
        <v>711.15579867837289</v>
      </c>
      <c r="F15" s="434">
        <v>745.92930829009288</v>
      </c>
      <c r="G15" s="434">
        <v>758.59290006477045</v>
      </c>
      <c r="H15" s="434">
        <v>766.58572842800152</v>
      </c>
      <c r="I15" s="434">
        <v>772.11149670579834</v>
      </c>
      <c r="K15" s="361" t="s">
        <v>234</v>
      </c>
      <c r="L15" s="365">
        <f>[5]Famille!$H$171</f>
        <v>193.54892878000001</v>
      </c>
      <c r="M15" s="566">
        <f>[4]Famille!$H$171</f>
        <v>124.05153402000001</v>
      </c>
      <c r="N15" s="424">
        <f>[4]Famille!$I$171</f>
        <v>48.467233780000001</v>
      </c>
      <c r="O15" s="424">
        <v>106.43347047991389</v>
      </c>
      <c r="P15" s="424">
        <v>68.365586787218206</v>
      </c>
      <c r="Q15" s="424">
        <v>68.723004152258767</v>
      </c>
      <c r="R15" s="424">
        <v>68.035591301237318</v>
      </c>
      <c r="S15" s="424">
        <v>66.552966364195555</v>
      </c>
    </row>
    <row r="16" spans="1:19" ht="14.25" x14ac:dyDescent="0.2">
      <c r="A16" s="17" t="s">
        <v>270</v>
      </c>
      <c r="B16" s="18"/>
      <c r="C16" s="52">
        <f>SUM(C11:C15)</f>
        <v>15075.837638410001</v>
      </c>
      <c r="D16" s="52">
        <f t="shared" ref="D16:I16" si="10">SUM(D11:D15)</f>
        <v>15522.195876170003</v>
      </c>
      <c r="E16" s="52">
        <f t="shared" si="10"/>
        <v>15757.931422612723</v>
      </c>
      <c r="F16" s="52">
        <f t="shared" si="10"/>
        <v>16246.290900837324</v>
      </c>
      <c r="G16" s="52">
        <f>SUM(G11:G15)</f>
        <v>16706.73832035037</v>
      </c>
      <c r="H16" s="52">
        <f t="shared" si="10"/>
        <v>17135.326678053327</v>
      </c>
      <c r="I16" s="52">
        <f t="shared" si="10"/>
        <v>17557.680355486573</v>
      </c>
      <c r="K16" s="361" t="s">
        <v>233</v>
      </c>
      <c r="L16" s="365">
        <f>-[5]Vieillesse!$H$54</f>
        <v>-248.57770237</v>
      </c>
      <c r="M16" s="566">
        <f>-[4]Vieillesse!$H$54</f>
        <v>-242.91464711</v>
      </c>
      <c r="N16" s="424">
        <f>-[4]Vieillesse!$I$54</f>
        <v>-47.514658859999997</v>
      </c>
      <c r="O16" s="424">
        <f>-175.993100215285</f>
        <v>-175.99310021528501</v>
      </c>
      <c r="P16" s="567">
        <v>100.76782794247794</v>
      </c>
      <c r="Q16" s="567">
        <v>285.66564083427994</v>
      </c>
      <c r="R16" s="567">
        <v>438.1388540339135</v>
      </c>
      <c r="S16" s="567">
        <v>621.9081359421682</v>
      </c>
    </row>
    <row r="17" spans="1:19" ht="15" x14ac:dyDescent="0.25">
      <c r="A17" s="583" t="s">
        <v>11</v>
      </c>
      <c r="B17" s="584"/>
      <c r="C17" s="393">
        <f t="shared" ref="C17:H17" si="11">C16-C10</f>
        <v>31.009118019999732</v>
      </c>
      <c r="D17" s="393">
        <f t="shared" si="11"/>
        <v>59.604045510001015</v>
      </c>
      <c r="E17" s="393">
        <f t="shared" si="11"/>
        <v>59.56037318102608</v>
      </c>
      <c r="F17" s="393">
        <f t="shared" si="11"/>
        <v>57.273537321952972</v>
      </c>
      <c r="G17" s="393">
        <f t="shared" si="11"/>
        <v>51.56930775465662</v>
      </c>
      <c r="H17" s="393">
        <f t="shared" si="11"/>
        <v>42.738424255603604</v>
      </c>
      <c r="I17" s="393">
        <f>I16-I10</f>
        <v>32.032395654554421</v>
      </c>
      <c r="J17" s="155"/>
      <c r="K17" s="361" t="s">
        <v>259</v>
      </c>
      <c r="L17" s="362">
        <f>[5]SASPA!$H$208</f>
        <v>0</v>
      </c>
      <c r="M17" s="566">
        <f>[4]SASPA!$H$208</f>
        <v>0</v>
      </c>
      <c r="N17" s="424">
        <f>[4]SASPA!$I$208</f>
        <v>0</v>
      </c>
      <c r="O17" s="424">
        <f>[4]SASPA!$R$208</f>
        <v>4.9737991503207013E-14</v>
      </c>
      <c r="P17" s="424">
        <f>[4]SASPA!$W$208</f>
        <v>1.4210854715202004E-14</v>
      </c>
      <c r="Q17" s="424">
        <f>[4]SASPA!$AB$208</f>
        <v>0</v>
      </c>
      <c r="R17" s="424">
        <f>[4]SASPA!$AG$208</f>
        <v>0</v>
      </c>
      <c r="S17" s="424">
        <f>[4]SASPA!$AL$208</f>
        <v>0</v>
      </c>
    </row>
    <row r="18" spans="1:19" x14ac:dyDescent="0.2">
      <c r="C18" s="371">
        <f>C14-C8</f>
        <v>0</v>
      </c>
      <c r="D18" s="371">
        <f t="shared" ref="D18:I18" si="12">D14-D8</f>
        <v>0</v>
      </c>
      <c r="E18" s="371">
        <f>E14-E8</f>
        <v>0</v>
      </c>
      <c r="F18" s="371">
        <f t="shared" si="12"/>
        <v>0</v>
      </c>
      <c r="G18" s="371">
        <f t="shared" si="12"/>
        <v>0</v>
      </c>
      <c r="H18" s="371">
        <f t="shared" si="12"/>
        <v>0</v>
      </c>
      <c r="I18" s="371">
        <f t="shared" si="12"/>
        <v>0</v>
      </c>
      <c r="K18" s="361" t="s">
        <v>235</v>
      </c>
      <c r="L18" s="362">
        <f t="shared" ref="L18:S18" si="13">SUM(L14:L16)</f>
        <v>2617.3910906900001</v>
      </c>
      <c r="M18" s="568">
        <f t="shared" si="13"/>
        <v>2565.96628199</v>
      </c>
      <c r="N18" s="569">
        <f t="shared" si="13"/>
        <v>2741.5570461999996</v>
      </c>
      <c r="O18" s="569">
        <f t="shared" si="13"/>
        <v>2372.2317555804852</v>
      </c>
      <c r="P18" s="569">
        <f t="shared" si="13"/>
        <v>2651.7747625042812</v>
      </c>
      <c r="Q18" s="569">
        <f t="shared" si="13"/>
        <v>2889.0192423093981</v>
      </c>
      <c r="R18" s="569">
        <f t="shared" si="13"/>
        <v>3123.6914344232955</v>
      </c>
      <c r="S18" s="569">
        <f t="shared" si="13"/>
        <v>3381.5426924654303</v>
      </c>
    </row>
    <row r="19" spans="1:19" x14ac:dyDescent="0.2">
      <c r="A19" s="217"/>
      <c r="B19" s="321" t="s">
        <v>286</v>
      </c>
      <c r="C19" s="435">
        <f>[4]Maladie!$H$255</f>
        <v>2684.8293950799998</v>
      </c>
      <c r="D19" s="435">
        <f>[4]Maladie!$I$255</f>
        <v>2740.6044712799999</v>
      </c>
      <c r="E19" s="435">
        <f>[4]Maladie!$R$255</f>
        <v>2441.7913853158561</v>
      </c>
      <c r="F19" s="435">
        <f>[4]Maladie!$W$255</f>
        <v>2482.641347774585</v>
      </c>
      <c r="G19" s="435">
        <f>[4]Maladie!$AB$255</f>
        <v>2534.6305973228591</v>
      </c>
      <c r="H19" s="435">
        <f>[4]Maladie!$AG$255</f>
        <v>2617.5169890881448</v>
      </c>
      <c r="I19" s="435">
        <f>[4]Maladie!$AL$255</f>
        <v>2693.0815901590663</v>
      </c>
    </row>
    <row r="20" spans="1:19" ht="14.25" x14ac:dyDescent="0.2">
      <c r="A20" s="322"/>
      <c r="B20" s="321"/>
      <c r="C20" s="364"/>
      <c r="D20" s="364"/>
      <c r="E20" s="364"/>
      <c r="F20" s="364"/>
      <c r="G20" s="364"/>
      <c r="H20" s="364"/>
      <c r="I20" s="364"/>
      <c r="L20" s="401" t="s">
        <v>23</v>
      </c>
      <c r="M20" s="401" t="s">
        <v>23</v>
      </c>
      <c r="N20" s="577" t="s">
        <v>261</v>
      </c>
      <c r="O20" s="577"/>
      <c r="P20" s="577"/>
      <c r="Q20" s="577"/>
      <c r="R20" s="577"/>
    </row>
    <row r="21" spans="1:19" ht="14.25" x14ac:dyDescent="0.2">
      <c r="A21" s="322"/>
      <c r="B21" s="323"/>
      <c r="C21" s="324"/>
      <c r="D21" s="324"/>
      <c r="E21" s="327" t="e">
        <f>(E20/D20)-1</f>
        <v>#DIV/0!</v>
      </c>
      <c r="F21" s="327" t="e">
        <f>((I20/D20)^(1/5)-1)</f>
        <v>#DIV/0!</v>
      </c>
      <c r="G21" s="325" t="e">
        <f>(E20/E16)*E21*100</f>
        <v>#DIV/0!</v>
      </c>
      <c r="H21" s="325"/>
      <c r="I21" s="326"/>
      <c r="L21" s="360" t="str">
        <f>L12</f>
        <v>Réalisations</v>
      </c>
      <c r="M21" s="360">
        <f>N13</f>
        <v>2022</v>
      </c>
      <c r="N21" s="360">
        <f t="shared" ref="N21" si="14">M21+1</f>
        <v>2023</v>
      </c>
      <c r="O21" s="360">
        <f t="shared" ref="O21" si="15">N21+1</f>
        <v>2024</v>
      </c>
      <c r="P21" s="360">
        <f t="shared" ref="P21" si="16">O21+1</f>
        <v>2025</v>
      </c>
      <c r="Q21" s="360">
        <f t="shared" ref="Q21" si="17">P21+1</f>
        <v>2026</v>
      </c>
      <c r="R21" s="360">
        <f t="shared" ref="R21" si="18">Q21+1</f>
        <v>2027</v>
      </c>
    </row>
    <row r="22" spans="1:19" ht="14.25" x14ac:dyDescent="0.2">
      <c r="A22" s="578" t="s">
        <v>37</v>
      </c>
      <c r="B22" s="579"/>
      <c r="C22" s="34" t="s">
        <v>23</v>
      </c>
      <c r="D22" s="586" t="s">
        <v>1</v>
      </c>
      <c r="E22" s="587"/>
      <c r="F22" s="587"/>
      <c r="G22" s="587"/>
      <c r="H22" s="588"/>
      <c r="K22" s="361" t="s">
        <v>232</v>
      </c>
      <c r="L22" s="362">
        <f>[5]Maladie!$H$252</f>
        <v>2672.4198642800002</v>
      </c>
      <c r="M22" s="570"/>
      <c r="N22" s="571">
        <f t="shared" ref="N22:R26" si="19">O14/N14-1</f>
        <v>-0.10903181728539724</v>
      </c>
      <c r="O22" s="571">
        <f t="shared" si="19"/>
        <v>1.6729505519753829E-2</v>
      </c>
      <c r="P22" s="571">
        <f t="shared" si="19"/>
        <v>2.0941103552825524E-2</v>
      </c>
      <c r="Q22" s="571">
        <f t="shared" si="19"/>
        <v>3.2701566789587577E-2</v>
      </c>
      <c r="R22" s="571">
        <f t="shared" si="19"/>
        <v>2.8868810168542813E-2</v>
      </c>
    </row>
    <row r="23" spans="1:19" ht="14.25" x14ac:dyDescent="0.2">
      <c r="A23" s="30"/>
      <c r="B23" s="31" t="s">
        <v>0</v>
      </c>
      <c r="C23" s="35" t="s">
        <v>150</v>
      </c>
      <c r="D23" s="35" t="s">
        <v>154</v>
      </c>
      <c r="E23" s="35" t="s">
        <v>174</v>
      </c>
      <c r="F23" s="35" t="s">
        <v>220</v>
      </c>
      <c r="G23" s="35" t="s">
        <v>237</v>
      </c>
      <c r="H23" s="35" t="s">
        <v>266</v>
      </c>
      <c r="K23" s="361" t="s">
        <v>259</v>
      </c>
      <c r="L23" s="362">
        <f>[5]SASPA!$H$208</f>
        <v>0</v>
      </c>
      <c r="M23" s="570"/>
      <c r="N23" s="571" t="e">
        <f>O17/N17-1</f>
        <v>#DIV/0!</v>
      </c>
      <c r="O23" s="571">
        <f>P17/O17-1</f>
        <v>-0.7142857142857143</v>
      </c>
      <c r="P23" s="571">
        <f>Q17/P17-1</f>
        <v>-1</v>
      </c>
      <c r="Q23" s="571" t="e">
        <f>R17/Q17-1</f>
        <v>#DIV/0!</v>
      </c>
      <c r="R23" s="571" t="e">
        <f>S17/R17-1</f>
        <v>#DIV/0!</v>
      </c>
    </row>
    <row r="24" spans="1:19" x14ac:dyDescent="0.2">
      <c r="A24" s="7"/>
      <c r="B24" s="8" t="s">
        <v>3</v>
      </c>
      <c r="C24" s="194">
        <f t="shared" ref="C24:H27" si="20">D5/C5-1</f>
        <v>3.8430123238025082E-2</v>
      </c>
      <c r="D24" s="194">
        <f t="shared" si="20"/>
        <v>-1.5671275693998066E-2</v>
      </c>
      <c r="E24" s="194">
        <f t="shared" si="20"/>
        <v>2.7976391649228383E-2</v>
      </c>
      <c r="F24" s="194">
        <f t="shared" si="20"/>
        <v>1.9234750725610317E-2</v>
      </c>
      <c r="G24" s="194">
        <f t="shared" si="20"/>
        <v>2.4008234026690056E-2</v>
      </c>
      <c r="H24" s="194">
        <f t="shared" si="20"/>
        <v>2.1670971522056659E-2</v>
      </c>
      <c r="K24" s="361" t="s">
        <v>233</v>
      </c>
      <c r="L24" s="365">
        <f>-[5]Vieillesse!$H$54</f>
        <v>-248.57770237</v>
      </c>
      <c r="M24" s="570"/>
      <c r="N24" s="571">
        <f>O16/N16-1</f>
        <v>2.7039748245660671</v>
      </c>
      <c r="O24" s="571">
        <f>P16/O16-1</f>
        <v>-1.5725669234715047</v>
      </c>
      <c r="P24" s="571">
        <f>Q16/P16-1</f>
        <v>1.8348893358835583</v>
      </c>
      <c r="Q24" s="571">
        <f>R16/Q16-1</f>
        <v>0.53374712042491024</v>
      </c>
      <c r="R24" s="571">
        <f>S16/R16-1</f>
        <v>0.41943160305529603</v>
      </c>
    </row>
    <row r="25" spans="1:19" x14ac:dyDescent="0.2">
      <c r="A25" s="12"/>
      <c r="B25" s="13" t="s">
        <v>33</v>
      </c>
      <c r="C25" s="194">
        <f t="shared" si="20"/>
        <v>2.1051184410116885E-2</v>
      </c>
      <c r="D25" s="194">
        <f t="shared" si="20"/>
        <v>2.7182264416041324E-2</v>
      </c>
      <c r="E25" s="194">
        <f t="shared" si="20"/>
        <v>2.9915444238361566E-2</v>
      </c>
      <c r="F25" s="194">
        <f t="shared" si="20"/>
        <v>3.0619314821416888E-2</v>
      </c>
      <c r="G25" s="194">
        <f t="shared" si="20"/>
        <v>3.1676379890926309E-2</v>
      </c>
      <c r="H25" s="194">
        <f t="shared" si="20"/>
        <v>3.3506055984368954E-2</v>
      </c>
      <c r="K25" s="361" t="s">
        <v>234</v>
      </c>
      <c r="L25" s="365">
        <f>[5]Famille!$H$171</f>
        <v>193.54892878000001</v>
      </c>
      <c r="M25" s="570"/>
      <c r="N25" s="571">
        <f>O15/N15-1</f>
        <v>1.1959881383582007</v>
      </c>
      <c r="O25" s="571">
        <f>P15/O15-1</f>
        <v>-0.35766834926123969</v>
      </c>
      <c r="P25" s="571">
        <f>Q15/P15-1</f>
        <v>5.2280303854188581E-3</v>
      </c>
      <c r="Q25" s="571">
        <f>R15/Q15-1</f>
        <v>-1.0002660091786075E-2</v>
      </c>
      <c r="R25" s="571">
        <f>S15/R15-1</f>
        <v>-2.1791901983731266E-2</v>
      </c>
    </row>
    <row r="26" spans="1:19" x14ac:dyDescent="0.2">
      <c r="A26" s="10"/>
      <c r="B26" s="11" t="s">
        <v>5</v>
      </c>
      <c r="C26" s="194">
        <f t="shared" si="20"/>
        <v>7.3634182562645423E-2</v>
      </c>
      <c r="D26" s="194">
        <f t="shared" si="20"/>
        <v>-2.6041609142379851E-4</v>
      </c>
      <c r="E26" s="194">
        <f t="shared" si="20"/>
        <v>-1.5413239933140144E-2</v>
      </c>
      <c r="F26" s="194">
        <f t="shared" si="20"/>
        <v>1.1673116118104288E-2</v>
      </c>
      <c r="G26" s="194">
        <f t="shared" si="20"/>
        <v>1.0833325549092887E-2</v>
      </c>
      <c r="H26" s="194">
        <f t="shared" si="20"/>
        <v>9.9350185017519355E-3</v>
      </c>
      <c r="K26" s="361" t="s">
        <v>235</v>
      </c>
      <c r="L26" s="362">
        <f>SUM(L22:L25)</f>
        <v>2617.3910906900001</v>
      </c>
      <c r="M26" s="570"/>
      <c r="N26" s="572">
        <f t="shared" si="19"/>
        <v>-0.13471369896585828</v>
      </c>
      <c r="O26" s="572">
        <f t="shared" si="19"/>
        <v>0.11783966986623184</v>
      </c>
      <c r="P26" s="572">
        <f t="shared" si="19"/>
        <v>8.946630127102817E-2</v>
      </c>
      <c r="Q26" s="572">
        <f t="shared" si="19"/>
        <v>8.1229016642446084E-2</v>
      </c>
      <c r="R26" s="572">
        <f t="shared" si="19"/>
        <v>8.2546968372290586E-2</v>
      </c>
    </row>
    <row r="27" spans="1:19" x14ac:dyDescent="0.2">
      <c r="A27" s="10"/>
      <c r="B27" s="11" t="s">
        <v>4</v>
      </c>
      <c r="C27" s="194">
        <f t="shared" si="20"/>
        <v>1.299188879330071E-2</v>
      </c>
      <c r="D27" s="194">
        <f t="shared" si="20"/>
        <v>4.3257664519549044E-2</v>
      </c>
      <c r="E27" s="194">
        <f t="shared" si="20"/>
        <v>3.9031395362094878E-2</v>
      </c>
      <c r="F27" s="194">
        <f t="shared" si="20"/>
        <v>3.9995498259924878E-2</v>
      </c>
      <c r="G27" s="194">
        <f t="shared" si="20"/>
        <v>3.1086764153149149E-2</v>
      </c>
      <c r="H27" s="194">
        <f t="shared" si="20"/>
        <v>3.1150495355685592E-2</v>
      </c>
    </row>
    <row r="28" spans="1:19" x14ac:dyDescent="0.2">
      <c r="A28" s="391"/>
      <c r="B28" s="390" t="s">
        <v>244</v>
      </c>
      <c r="C28" s="194">
        <f t="shared" ref="C28:C36" si="21">D9/C9-1</f>
        <v>2.6303666977999907E-2</v>
      </c>
      <c r="D28" s="194">
        <f t="shared" ref="D28:H28" si="22">E9/D9-1</f>
        <v>1.9197645582485823E-2</v>
      </c>
      <c r="E28" s="194">
        <f t="shared" si="22"/>
        <v>4.8897175100510726E-2</v>
      </c>
      <c r="F28" s="194">
        <f t="shared" si="22"/>
        <v>1.6976932845964354E-2</v>
      </c>
      <c r="G28" s="194">
        <f t="shared" si="22"/>
        <v>1.0536386990372071E-2</v>
      </c>
      <c r="H28" s="194">
        <f t="shared" si="22"/>
        <v>7.2082848308800962E-3</v>
      </c>
    </row>
    <row r="29" spans="1:19" ht="14.25" x14ac:dyDescent="0.2">
      <c r="A29" s="17" t="s">
        <v>20</v>
      </c>
      <c r="B29" s="18"/>
      <c r="C29" s="37">
        <f t="shared" si="21"/>
        <v>2.7767901089986724E-2</v>
      </c>
      <c r="D29" s="37">
        <f t="shared" ref="D29:H32" si="23">E10/D10-1</f>
        <v>1.5248363363260964E-2</v>
      </c>
      <c r="E29" s="37">
        <f t="shared" si="23"/>
        <v>3.1254600400175692E-2</v>
      </c>
      <c r="F29" s="37">
        <f t="shared" si="23"/>
        <v>2.8794313985411657E-2</v>
      </c>
      <c r="G29" s="37">
        <f t="shared" si="23"/>
        <v>2.6263272433393103E-2</v>
      </c>
      <c r="H29" s="37">
        <f t="shared" si="23"/>
        <v>2.533611057635321E-2</v>
      </c>
    </row>
    <row r="30" spans="1:19" x14ac:dyDescent="0.2">
      <c r="A30" s="7"/>
      <c r="B30" s="8" t="s">
        <v>7</v>
      </c>
      <c r="C30" s="194">
        <f t="shared" si="21"/>
        <v>3.8430123238025082E-2</v>
      </c>
      <c r="D30" s="194">
        <f t="shared" si="23"/>
        <v>-1.5671275693998066E-2</v>
      </c>
      <c r="E30" s="194">
        <f t="shared" si="23"/>
        <v>2.7976391649228161E-2</v>
      </c>
      <c r="F30" s="194">
        <f t="shared" si="23"/>
        <v>1.9234750725610539E-2</v>
      </c>
      <c r="G30" s="194">
        <f t="shared" si="23"/>
        <v>2.4008234026690056E-2</v>
      </c>
      <c r="H30" s="194">
        <f t="shared" si="23"/>
        <v>2.1670971522056659E-2</v>
      </c>
    </row>
    <row r="31" spans="1:19" x14ac:dyDescent="0.2">
      <c r="A31" s="10"/>
      <c r="B31" s="11" t="s">
        <v>34</v>
      </c>
      <c r="C31" s="194">
        <f t="shared" si="21"/>
        <v>5.7977378623591758E-2</v>
      </c>
      <c r="D31" s="194">
        <f t="shared" si="23"/>
        <v>2.5103949768086053E-2</v>
      </c>
      <c r="E31" s="194">
        <f t="shared" si="23"/>
        <v>2.4957785649118547E-2</v>
      </c>
      <c r="F31" s="194">
        <f t="shared" si="23"/>
        <v>2.1753035931600273E-2</v>
      </c>
      <c r="G31" s="194">
        <f t="shared" si="23"/>
        <v>1.9500695167706805E-2</v>
      </c>
      <c r="H31" s="194">
        <f t="shared" si="23"/>
        <v>1.9653209156976326E-2</v>
      </c>
    </row>
    <row r="32" spans="1:19" x14ac:dyDescent="0.2">
      <c r="A32" s="10"/>
      <c r="B32" s="11" t="s">
        <v>9</v>
      </c>
      <c r="C32" s="194">
        <f t="shared" si="21"/>
        <v>7.3634182562645201E-2</v>
      </c>
      <c r="D32" s="194">
        <f t="shared" si="23"/>
        <v>-2.6041609142346545E-4</v>
      </c>
      <c r="E32" s="194">
        <f t="shared" si="23"/>
        <v>-1.5413239933140255E-2</v>
      </c>
      <c r="F32" s="194">
        <f t="shared" si="23"/>
        <v>1.1673116118104288E-2</v>
      </c>
      <c r="G32" s="194">
        <f t="shared" si="23"/>
        <v>1.0833325549093109E-2</v>
      </c>
      <c r="H32" s="194">
        <f t="shared" si="23"/>
        <v>9.9350185017519355E-3</v>
      </c>
    </row>
    <row r="33" spans="1:9" x14ac:dyDescent="0.2">
      <c r="A33" s="10"/>
      <c r="B33" s="11" t="s">
        <v>8</v>
      </c>
      <c r="C33" s="194">
        <f t="shared" si="21"/>
        <v>1.2991888793300932E-2</v>
      </c>
      <c r="D33" s="194">
        <f t="shared" ref="D33:H33" si="24">E14/D14-1</f>
        <v>4.3257664519549044E-2</v>
      </c>
      <c r="E33" s="194">
        <f t="shared" si="24"/>
        <v>3.9031395362094878E-2</v>
      </c>
      <c r="F33" s="194">
        <f t="shared" si="24"/>
        <v>3.9995498259924878E-2</v>
      </c>
      <c r="G33" s="194">
        <f t="shared" si="24"/>
        <v>3.1086764153149149E-2</v>
      </c>
      <c r="H33" s="194">
        <f t="shared" si="24"/>
        <v>3.1150495355685592E-2</v>
      </c>
    </row>
    <row r="34" spans="1:9" x14ac:dyDescent="0.2">
      <c r="A34" s="391"/>
      <c r="B34" s="390" t="s">
        <v>245</v>
      </c>
      <c r="C34" s="194">
        <f t="shared" si="21"/>
        <v>2.6303666978000129E-2</v>
      </c>
      <c r="D34" s="194">
        <f t="shared" ref="D34:H34" si="25">E15/D15-1</f>
        <v>1.9197645582485601E-2</v>
      </c>
      <c r="E34" s="194">
        <f t="shared" si="25"/>
        <v>4.8897175100510726E-2</v>
      </c>
      <c r="F34" s="194">
        <f t="shared" si="25"/>
        <v>1.6976932845964354E-2</v>
      </c>
      <c r="G34" s="194">
        <f t="shared" si="25"/>
        <v>1.0536386990372071E-2</v>
      </c>
      <c r="H34" s="194">
        <f t="shared" si="25"/>
        <v>7.2082848308803182E-3</v>
      </c>
    </row>
    <row r="35" spans="1:9" ht="14.25" x14ac:dyDescent="0.2">
      <c r="A35" s="17" t="s">
        <v>10</v>
      </c>
      <c r="B35" s="18"/>
      <c r="C35" s="37">
        <f t="shared" si="21"/>
        <v>2.9607524866331669E-2</v>
      </c>
      <c r="D35" s="37">
        <f t="shared" ref="D35:H36" si="26">E16/D16-1</f>
        <v>1.5186997273022751E-2</v>
      </c>
      <c r="E35" s="37">
        <f t="shared" si="26"/>
        <v>3.0991344303212598E-2</v>
      </c>
      <c r="F35" s="37">
        <f t="shared" si="26"/>
        <v>2.8341694871985457E-2</v>
      </c>
      <c r="G35" s="37">
        <f t="shared" si="26"/>
        <v>2.5653622477638027E-2</v>
      </c>
      <c r="H35" s="37">
        <f t="shared" si="26"/>
        <v>2.4648125207568539E-2</v>
      </c>
    </row>
    <row r="36" spans="1:9" ht="15" x14ac:dyDescent="0.25">
      <c r="A36" s="583" t="s">
        <v>11</v>
      </c>
      <c r="B36" s="583"/>
      <c r="C36" s="394">
        <f t="shared" si="21"/>
        <v>0.92214578536411818</v>
      </c>
      <c r="D36" s="394">
        <f t="shared" si="26"/>
        <v>-7.3270746307996237E-4</v>
      </c>
      <c r="E36" s="394">
        <f t="shared" si="26"/>
        <v>-3.839525739911942E-2</v>
      </c>
      <c r="F36" s="394">
        <f t="shared" si="26"/>
        <v>-9.9596250450378898E-2</v>
      </c>
      <c r="G36" s="394">
        <f t="shared" si="26"/>
        <v>-0.17124301030113409</v>
      </c>
      <c r="H36" s="394">
        <f t="shared" si="26"/>
        <v>-0.2505012477067512</v>
      </c>
    </row>
    <row r="38" spans="1:9" x14ac:dyDescent="0.2">
      <c r="A38" s="27"/>
    </row>
    <row r="40" spans="1:9" ht="14.25" x14ac:dyDescent="0.2">
      <c r="A40" s="578" t="s">
        <v>37</v>
      </c>
      <c r="B40" s="579"/>
      <c r="C40" s="38" t="s">
        <v>23</v>
      </c>
      <c r="D40" s="29" t="s">
        <v>23</v>
      </c>
      <c r="E40" s="580" t="s">
        <v>1</v>
      </c>
      <c r="F40" s="581"/>
      <c r="G40" s="581"/>
      <c r="H40" s="581"/>
      <c r="I40" s="582"/>
    </row>
    <row r="41" spans="1:9" ht="14.25" x14ac:dyDescent="0.2">
      <c r="A41" s="30"/>
      <c r="B41" s="36" t="s">
        <v>2</v>
      </c>
      <c r="C41" s="33">
        <f t="shared" ref="C41:I41" si="27">C4</f>
        <v>2021</v>
      </c>
      <c r="D41" s="32">
        <f t="shared" si="27"/>
        <v>2022</v>
      </c>
      <c r="E41" s="32" t="str">
        <f t="shared" si="27"/>
        <v>2023(p)</v>
      </c>
      <c r="F41" s="32" t="str">
        <f t="shared" si="27"/>
        <v>2024(p)</v>
      </c>
      <c r="G41" s="32" t="str">
        <f t="shared" si="27"/>
        <v>2025(p)</v>
      </c>
      <c r="H41" s="32" t="str">
        <f t="shared" si="27"/>
        <v>2026(p)</v>
      </c>
      <c r="I41" s="32" t="str">
        <f t="shared" si="27"/>
        <v>2027(p)</v>
      </c>
    </row>
    <row r="42" spans="1:9" x14ac:dyDescent="0.2">
      <c r="A42" s="7"/>
      <c r="B42" s="8" t="s">
        <v>12</v>
      </c>
      <c r="C42" s="426">
        <f>[4]Maladie!$H$10</f>
        <v>4816.3181431499997</v>
      </c>
      <c r="D42" s="426">
        <f>[4]Maladie!$I$10</f>
        <v>5028.3106068300012</v>
      </c>
      <c r="E42" s="426">
        <f>[4]Maladie!$R$10</f>
        <v>5006.9183053414354</v>
      </c>
      <c r="F42" s="426">
        <f>[4]Maladie!$W$10</f>
        <v>5160.1935131845348</v>
      </c>
      <c r="G42" s="426">
        <f>[4]Maladie!$AB$10</f>
        <v>5265.8427525041006</v>
      </c>
      <c r="H42" s="426">
        <f>[4]Maladie!$AG$10</f>
        <v>5400.2291665831508</v>
      </c>
      <c r="I42" s="426">
        <f>[4]Maladie!$AL$10</f>
        <v>5521.8060313409705</v>
      </c>
    </row>
    <row r="43" spans="1:9" x14ac:dyDescent="0.2">
      <c r="A43" s="10"/>
      <c r="B43" s="11" t="s">
        <v>35</v>
      </c>
      <c r="C43" s="429">
        <f>[4]AT!$H$10</f>
        <v>572.89877344000001</v>
      </c>
      <c r="D43" s="429">
        <f>[4]AT!$I$10</f>
        <v>593.00804479999999</v>
      </c>
      <c r="E43" s="429">
        <f>[4]AT!$R$10</f>
        <v>610.62865056862461</v>
      </c>
      <c r="F43" s="429">
        <f>[4]AT!$W$10</f>
        <v>630.76275275251385</v>
      </c>
      <c r="G43" s="429">
        <f>[4]AT!$AB$10</f>
        <v>652.45714843704798</v>
      </c>
      <c r="H43" s="429">
        <f>[4]AT!$AG$10</f>
        <v>675.71493869885376</v>
      </c>
      <c r="I43" s="429">
        <f>[4]AT!$AL$10</f>
        <v>701.12294742119911</v>
      </c>
    </row>
    <row r="44" spans="1:9" x14ac:dyDescent="0.2">
      <c r="A44" s="10"/>
      <c r="B44" s="11" t="s">
        <v>14</v>
      </c>
      <c r="C44" s="429">
        <f>[4]Famille!$H$10</f>
        <v>688.32126192999999</v>
      </c>
      <c r="D44" s="429">
        <f>[4]Famille!$I$10</f>
        <v>771.56760064000002</v>
      </c>
      <c r="E44" s="429">
        <f>[4]Famille!$R$10</f>
        <v>772.44554976732979</v>
      </c>
      <c r="F44" s="429">
        <f>[4]Famille!$W$10</f>
        <v>758.25077616096019</v>
      </c>
      <c r="G44" s="429">
        <f>[4]Famille!$AB$10</f>
        <v>772.22755553242428</v>
      </c>
      <c r="H44" s="429">
        <f>[4]Famille!$AG$10</f>
        <v>785.40364681704477</v>
      </c>
      <c r="I44" s="429">
        <f>[4]Famille!$AL$10</f>
        <v>797.74773963515293</v>
      </c>
    </row>
    <row r="45" spans="1:9" x14ac:dyDescent="0.2">
      <c r="A45" s="12"/>
      <c r="B45" s="13" t="s">
        <v>13</v>
      </c>
      <c r="C45" s="432">
        <f>[4]Vieillesse!$H$10</f>
        <v>6213.4170283700005</v>
      </c>
      <c r="D45" s="432">
        <f>[4]Vieillesse!$I$10</f>
        <v>6499.3807921200005</v>
      </c>
      <c r="E45" s="437">
        <v>6723.6242346497584</v>
      </c>
      <c r="F45" s="437">
        <v>7175.5268792288289</v>
      </c>
      <c r="G45" s="437">
        <v>7472.5688793031704</v>
      </c>
      <c r="H45" s="437">
        <v>7712.3725952714285</v>
      </c>
      <c r="I45" s="437">
        <v>7960.1096536249661</v>
      </c>
    </row>
    <row r="46" spans="1:9" x14ac:dyDescent="0.2">
      <c r="A46" s="391"/>
      <c r="B46" s="390" t="s">
        <v>246</v>
      </c>
      <c r="C46" s="392">
        <f>[4]SASPA!$H$10</f>
        <v>646.33154295999998</v>
      </c>
      <c r="D46" s="392">
        <f>[4]SASPA!$I$10</f>
        <v>655.85460454999998</v>
      </c>
      <c r="E46" s="392">
        <f>[4]SASPA!$R$10</f>
        <v>668.5010214901198</v>
      </c>
      <c r="F46" s="392">
        <f>[4]SASPA!$W$10</f>
        <v>696.21118268926136</v>
      </c>
      <c r="G46" s="392">
        <f>[4]SASPA!$AB$10</f>
        <v>708.19961130232105</v>
      </c>
      <c r="H46" s="392">
        <f>[4]SASPA!$AG$10</f>
        <v>715.72725352380417</v>
      </c>
      <c r="I46" s="392">
        <f>[4]SASPA!$AL$10</f>
        <v>720.94078466163</v>
      </c>
    </row>
    <row r="47" spans="1:9" ht="14.25" x14ac:dyDescent="0.2">
      <c r="A47" s="17" t="s">
        <v>15</v>
      </c>
      <c r="B47" s="18"/>
      <c r="C47" s="39">
        <f>SUM(C42:C46)</f>
        <v>12937.286749850002</v>
      </c>
      <c r="D47" s="39">
        <f t="shared" ref="D47:I47" si="28">SUM(D42:D46)</f>
        <v>13548.121648940003</v>
      </c>
      <c r="E47" s="39">
        <f t="shared" si="28"/>
        <v>13782.117761817268</v>
      </c>
      <c r="F47" s="39">
        <f t="shared" si="28"/>
        <v>14420.9451040161</v>
      </c>
      <c r="G47" s="39">
        <f t="shared" si="28"/>
        <v>14871.295947079065</v>
      </c>
      <c r="H47" s="39">
        <f t="shared" si="28"/>
        <v>15289.447600894282</v>
      </c>
      <c r="I47" s="39">
        <f t="shared" si="28"/>
        <v>15701.727156683919</v>
      </c>
    </row>
    <row r="48" spans="1:9" x14ac:dyDescent="0.2">
      <c r="A48" s="22" t="s">
        <v>21</v>
      </c>
      <c r="B48" s="23"/>
      <c r="C48" s="202">
        <f t="shared" ref="C48:I48" si="29">C47/C10</f>
        <v>0.85991586626037753</v>
      </c>
      <c r="D48" s="202">
        <f t="shared" si="29"/>
        <v>0.87618698063775502</v>
      </c>
      <c r="E48" s="202">
        <f t="shared" si="29"/>
        <v>0.87793298543011566</v>
      </c>
      <c r="F48" s="202">
        <f t="shared" si="29"/>
        <v>0.89078569626567239</v>
      </c>
      <c r="G48" s="202">
        <f t="shared" si="29"/>
        <v>0.8928937278170177</v>
      </c>
      <c r="H48" s="202">
        <f t="shared" si="29"/>
        <v>0.894507453983582</v>
      </c>
      <c r="I48" s="202">
        <f t="shared" si="29"/>
        <v>0.89592848108506784</v>
      </c>
    </row>
    <row r="49" spans="1:9" x14ac:dyDescent="0.2">
      <c r="A49" s="7"/>
      <c r="B49" s="8" t="s">
        <v>16</v>
      </c>
      <c r="C49" s="427">
        <f>[4]Maladie!$H$156</f>
        <v>1590.28099806</v>
      </c>
      <c r="D49" s="426">
        <f>[4]Maladie!$I$156</f>
        <v>1627.74614486</v>
      </c>
      <c r="E49" s="426">
        <f>[4]Maladie!$R$156</f>
        <v>1693.3704889707972</v>
      </c>
      <c r="F49" s="426">
        <f>[4]Maladie!$W$156</f>
        <v>1739.2558817937982</v>
      </c>
      <c r="G49" s="426">
        <f>[4]Maladie!$AB$156</f>
        <v>1761.5437016418487</v>
      </c>
      <c r="H49" s="426">
        <f>[4]Maladie!$AG$156</f>
        <v>1785.9716895294048</v>
      </c>
      <c r="I49" s="426">
        <f>[4]Maladie!$AL$156</f>
        <v>1810.3819413065303</v>
      </c>
    </row>
    <row r="50" spans="1:9" x14ac:dyDescent="0.2">
      <c r="A50" s="10"/>
      <c r="B50" s="244" t="s">
        <v>268</v>
      </c>
      <c r="C50" s="429">
        <f>[4]AT!$H$99</f>
        <v>500.05769889999999</v>
      </c>
      <c r="D50" s="429">
        <f>[4]AT!$I$99</f>
        <v>517.04956264000009</v>
      </c>
      <c r="E50" s="429">
        <f>[4]AT!$R$99</f>
        <v>541.5869523844882</v>
      </c>
      <c r="F50" s="429">
        <f>[4]AT!$W$99</f>
        <v>561.08687477490571</v>
      </c>
      <c r="G50" s="429">
        <f>[4]AT!$AB$99</f>
        <v>574.51944436542476</v>
      </c>
      <c r="H50" s="429">
        <f>[4]AT!$AG$99</f>
        <v>587.62377441915214</v>
      </c>
      <c r="I50" s="429">
        <f>[4]AT!$AL$99</f>
        <v>601.35140898503471</v>
      </c>
    </row>
    <row r="51" spans="1:9" x14ac:dyDescent="0.2">
      <c r="A51" s="10"/>
      <c r="B51" s="11" t="s">
        <v>18</v>
      </c>
      <c r="C51" s="429">
        <f>[4]Famille!$H$92</f>
        <v>647.90029649999997</v>
      </c>
      <c r="D51" s="429">
        <f>[4]Famille!$I$92</f>
        <v>667.18409943999995</v>
      </c>
      <c r="E51" s="429">
        <f>[4]Famille!$R$92</f>
        <v>692.67904988381792</v>
      </c>
      <c r="F51" s="429">
        <f>[4]Famille!$W$92</f>
        <v>708.37386411798298</v>
      </c>
      <c r="G51" s="429">
        <f>[4]Famille!$AB$92</f>
        <v>714.73310177574285</v>
      </c>
      <c r="H51" s="429">
        <f>[4]Famille!$AG$92</f>
        <v>721.75575942599573</v>
      </c>
      <c r="I51" s="429">
        <f>[4]Famille!$AL$92</f>
        <v>728.62123389192777</v>
      </c>
    </row>
    <row r="52" spans="1:9" x14ac:dyDescent="0.2">
      <c r="A52" s="10"/>
      <c r="B52" s="11" t="s">
        <v>17</v>
      </c>
      <c r="C52" s="429">
        <f>[4]Vieillesse!$H$107</f>
        <v>3022.4385234800002</v>
      </c>
      <c r="D52" s="429">
        <f>[4]Vieillesse!$I$107</f>
        <v>3132.4160716800002</v>
      </c>
      <c r="E52" s="429">
        <f>[4]Vieillesse!$R$107</f>
        <v>3291.2717900944872</v>
      </c>
      <c r="F52" s="429">
        <f>[4]Vieillesse!$W$107</f>
        <v>3384.8921348363301</v>
      </c>
      <c r="G52" s="429">
        <f>[4]Vieillesse!$AB$107</f>
        <v>3430.1954107600482</v>
      </c>
      <c r="H52" s="429">
        <f>[4]Vieillesse!$AG$107</f>
        <v>3480.2584833295164</v>
      </c>
      <c r="I52" s="429">
        <f>[4]Vieillesse!$AL$107</f>
        <v>3530.4310238130602</v>
      </c>
    </row>
    <row r="53" spans="1:9" x14ac:dyDescent="0.2">
      <c r="A53" s="391"/>
      <c r="B53" s="390" t="s">
        <v>247</v>
      </c>
      <c r="C53" s="392">
        <f>[4]SASPA!$H$107</f>
        <v>0</v>
      </c>
      <c r="D53" s="392">
        <f>[4]SASPA!$I$107</f>
        <v>0</v>
      </c>
      <c r="E53" s="392">
        <f>[4]SASPA!$R$107</f>
        <v>0</v>
      </c>
      <c r="F53" s="392">
        <f>[4]SASPA!$W$107</f>
        <v>0</v>
      </c>
      <c r="G53" s="392">
        <f>[4]SASPA!$AB$107</f>
        <v>0</v>
      </c>
      <c r="H53" s="392">
        <f>[4]SASPA!$AG$107</f>
        <v>0</v>
      </c>
      <c r="I53" s="392">
        <f>[4]SASPA!$AL$107</f>
        <v>0</v>
      </c>
    </row>
    <row r="54" spans="1:9" ht="14.25" x14ac:dyDescent="0.2">
      <c r="A54" s="17" t="s">
        <v>19</v>
      </c>
      <c r="B54" s="18"/>
      <c r="C54" s="39">
        <f>SUM(C49:C53)</f>
        <v>5760.6775169400007</v>
      </c>
      <c r="D54" s="39">
        <f t="shared" ref="D54:I54" si="30">SUM(D49:D53)</f>
        <v>5944.3958786200001</v>
      </c>
      <c r="E54" s="39">
        <f t="shared" si="30"/>
        <v>6218.9082813335908</v>
      </c>
      <c r="F54" s="39">
        <f t="shared" si="30"/>
        <v>6393.608755523017</v>
      </c>
      <c r="G54" s="39">
        <f t="shared" si="30"/>
        <v>6480.9916585430647</v>
      </c>
      <c r="H54" s="39">
        <f t="shared" si="30"/>
        <v>6575.6097067040691</v>
      </c>
      <c r="I54" s="39">
        <f t="shared" si="30"/>
        <v>6670.7856079965532</v>
      </c>
    </row>
    <row r="55" spans="1:9" x14ac:dyDescent="0.2">
      <c r="A55" s="22" t="s">
        <v>22</v>
      </c>
      <c r="B55" s="23"/>
      <c r="C55" s="40">
        <f t="shared" ref="C55:I55" si="31">C54/C16</f>
        <v>0.38211326329643069</v>
      </c>
      <c r="D55" s="40">
        <f t="shared" si="31"/>
        <v>0.38296101441072267</v>
      </c>
      <c r="E55" s="40">
        <f t="shared" si="31"/>
        <v>0.3946525793613635</v>
      </c>
      <c r="F55" s="40">
        <f t="shared" si="31"/>
        <v>0.39354267349684685</v>
      </c>
      <c r="G55" s="40">
        <f t="shared" si="31"/>
        <v>0.38792680739175822</v>
      </c>
      <c r="H55" s="40">
        <f t="shared" si="31"/>
        <v>0.38374580364003291</v>
      </c>
      <c r="I55" s="40">
        <f t="shared" si="31"/>
        <v>0.37993547398828281</v>
      </c>
    </row>
    <row r="57" spans="1:9" ht="14.25" x14ac:dyDescent="0.2">
      <c r="A57" s="578" t="s">
        <v>37</v>
      </c>
      <c r="B57" s="579"/>
      <c r="C57" s="34" t="s">
        <v>23</v>
      </c>
      <c r="D57" s="585" t="s">
        <v>1</v>
      </c>
      <c r="E57" s="585"/>
      <c r="F57" s="585"/>
      <c r="G57" s="585"/>
      <c r="H57" s="585"/>
    </row>
    <row r="58" spans="1:9" ht="14.25" x14ac:dyDescent="0.2">
      <c r="A58" s="30"/>
      <c r="B58" s="31" t="s">
        <v>0</v>
      </c>
      <c r="C58" s="35" t="str">
        <f t="shared" ref="C58:H58" si="32">C23</f>
        <v>2022/2021</v>
      </c>
      <c r="D58" s="35" t="str">
        <f t="shared" si="32"/>
        <v>2023/2022</v>
      </c>
      <c r="E58" s="35" t="str">
        <f t="shared" si="32"/>
        <v>2024/2023</v>
      </c>
      <c r="F58" s="35" t="str">
        <f t="shared" si="32"/>
        <v>2025/2024</v>
      </c>
      <c r="G58" s="35" t="str">
        <f t="shared" si="32"/>
        <v>2026/2025</v>
      </c>
      <c r="H58" s="35" t="str">
        <f t="shared" si="32"/>
        <v>2027/2026</v>
      </c>
    </row>
    <row r="59" spans="1:9" x14ac:dyDescent="0.2">
      <c r="A59" s="7"/>
      <c r="B59" s="8" t="s">
        <v>12</v>
      </c>
      <c r="C59" s="195">
        <f t="shared" ref="C59:H59" si="33">D42/C42-1</f>
        <v>4.4015461059504046E-2</v>
      </c>
      <c r="D59" s="195">
        <f t="shared" si="33"/>
        <v>-4.2543715297754803E-3</v>
      </c>
      <c r="E59" s="195">
        <f t="shared" si="33"/>
        <v>3.0612683989587719E-2</v>
      </c>
      <c r="F59" s="195">
        <f t="shared" si="33"/>
        <v>2.047389095963692E-2</v>
      </c>
      <c r="G59" s="195">
        <f t="shared" si="33"/>
        <v>2.552040013256085E-2</v>
      </c>
      <c r="H59" s="195">
        <f t="shared" si="33"/>
        <v>2.2513278790119218E-2</v>
      </c>
    </row>
    <row r="60" spans="1:9" x14ac:dyDescent="0.2">
      <c r="A60" s="10"/>
      <c r="B60" s="13" t="s">
        <v>35</v>
      </c>
      <c r="C60" s="195">
        <f t="shared" ref="C60:H60" si="34">D43/C43-1</f>
        <v>3.510091536634441E-2</v>
      </c>
      <c r="D60" s="195">
        <f t="shared" si="34"/>
        <v>2.9713940515878612E-2</v>
      </c>
      <c r="E60" s="195">
        <f t="shared" si="34"/>
        <v>3.2972744015761668E-2</v>
      </c>
      <c r="F60" s="195">
        <f t="shared" si="34"/>
        <v>3.4393907360357634E-2</v>
      </c>
      <c r="G60" s="195">
        <f t="shared" si="34"/>
        <v>3.564646401303051E-2</v>
      </c>
      <c r="H60" s="195">
        <f t="shared" si="34"/>
        <v>3.7601667903436553E-2</v>
      </c>
    </row>
    <row r="61" spans="1:9" x14ac:dyDescent="0.2">
      <c r="A61" s="10"/>
      <c r="B61" s="11" t="s">
        <v>14</v>
      </c>
      <c r="C61" s="195">
        <f t="shared" ref="C61:H63" si="35">D44/C44-1</f>
        <v>0.12094111182412659</v>
      </c>
      <c r="D61" s="195">
        <f t="shared" si="35"/>
        <v>1.1378771304051405E-3</v>
      </c>
      <c r="E61" s="195">
        <f t="shared" si="35"/>
        <v>-1.8376406739148421E-2</v>
      </c>
      <c r="F61" s="195">
        <f t="shared" si="35"/>
        <v>1.8432924582324706E-2</v>
      </c>
      <c r="G61" s="195">
        <f t="shared" si="35"/>
        <v>1.7062446412619892E-2</v>
      </c>
      <c r="H61" s="195">
        <f t="shared" si="35"/>
        <v>1.5716877389268857E-2</v>
      </c>
    </row>
    <row r="62" spans="1:9" x14ac:dyDescent="0.2">
      <c r="A62" s="12"/>
      <c r="B62" s="11" t="s">
        <v>13</v>
      </c>
      <c r="C62" s="195">
        <f t="shared" ref="C62:C63" si="36">D45/C45-1</f>
        <v>4.6023590955557969E-2</v>
      </c>
      <c r="D62" s="195">
        <f t="shared" si="35"/>
        <v>3.4502277940328785E-2</v>
      </c>
      <c r="E62" s="195">
        <f t="shared" si="35"/>
        <v>6.7211168977918234E-2</v>
      </c>
      <c r="F62" s="195">
        <f t="shared" si="35"/>
        <v>4.1396542034313422E-2</v>
      </c>
      <c r="G62" s="195">
        <f t="shared" si="35"/>
        <v>3.2091201813133408E-2</v>
      </c>
      <c r="H62" s="195">
        <f t="shared" si="35"/>
        <v>3.2122029283884634E-2</v>
      </c>
    </row>
    <row r="63" spans="1:9" x14ac:dyDescent="0.2">
      <c r="A63" s="391"/>
      <c r="B63" s="174" t="str">
        <f>B46</f>
        <v>Prestations SASPA</v>
      </c>
      <c r="C63" s="195">
        <f t="shared" si="36"/>
        <v>1.4734019550380228E-2</v>
      </c>
      <c r="D63" s="195">
        <f t="shared" si="35"/>
        <v>1.9282348332061883E-2</v>
      </c>
      <c r="E63" s="195">
        <f t="shared" si="35"/>
        <v>4.1451187520064492E-2</v>
      </c>
      <c r="F63" s="195">
        <f t="shared" si="35"/>
        <v>1.7219528946305962E-2</v>
      </c>
      <c r="G63" s="195">
        <f t="shared" si="35"/>
        <v>1.0629266242663471E-2</v>
      </c>
      <c r="H63" s="195">
        <f t="shared" si="35"/>
        <v>7.2842428622881261E-3</v>
      </c>
    </row>
    <row r="64" spans="1:9" ht="14.25" x14ac:dyDescent="0.2">
      <c r="A64" s="17" t="s">
        <v>15</v>
      </c>
      <c r="B64" s="21"/>
      <c r="C64" s="187">
        <f t="shared" ref="C64:H64" si="37">D47/C47-1</f>
        <v>4.7215069967980972E-2</v>
      </c>
      <c r="D64" s="187">
        <f t="shared" si="37"/>
        <v>1.727148005757484E-2</v>
      </c>
      <c r="E64" s="187">
        <f t="shared" si="37"/>
        <v>4.6351899848706468E-2</v>
      </c>
      <c r="F64" s="187">
        <f t="shared" si="37"/>
        <v>3.1228940947673811E-2</v>
      </c>
      <c r="G64" s="187">
        <f t="shared" si="37"/>
        <v>2.8118037278207053E-2</v>
      </c>
      <c r="H64" s="187">
        <f t="shared" si="37"/>
        <v>2.6964973918712554E-2</v>
      </c>
    </row>
    <row r="65" spans="1:8" x14ac:dyDescent="0.2">
      <c r="A65" s="7"/>
      <c r="B65" s="8" t="s">
        <v>16</v>
      </c>
      <c r="C65" s="195">
        <f t="shared" ref="C65:H65" si="38">D49/C49-1</f>
        <v>2.355882189732772E-2</v>
      </c>
      <c r="D65" s="195">
        <f t="shared" si="38"/>
        <v>4.03160801934761E-2</v>
      </c>
      <c r="E65" s="195">
        <f t="shared" si="38"/>
        <v>2.7097078354595183E-2</v>
      </c>
      <c r="F65" s="195">
        <f t="shared" si="38"/>
        <v>1.2814572071513597E-2</v>
      </c>
      <c r="G65" s="195">
        <f t="shared" si="38"/>
        <v>1.3867375453012087E-2</v>
      </c>
      <c r="H65" s="195">
        <f t="shared" si="38"/>
        <v>1.3667770838829751E-2</v>
      </c>
    </row>
    <row r="66" spans="1:8" x14ac:dyDescent="0.2">
      <c r="A66" s="10"/>
      <c r="B66" s="13" t="s">
        <v>36</v>
      </c>
      <c r="C66" s="195">
        <f t="shared" ref="C66:H67" si="39">D50/C50-1</f>
        <v>3.3979806285110437E-2</v>
      </c>
      <c r="D66" s="195">
        <f t="shared" si="39"/>
        <v>4.7456552557946008E-2</v>
      </c>
      <c r="E66" s="195">
        <f t="shared" si="39"/>
        <v>3.6005155413297185E-2</v>
      </c>
      <c r="F66" s="195">
        <f t="shared" si="39"/>
        <v>2.3940266996813842E-2</v>
      </c>
      <c r="G66" s="195">
        <f t="shared" si="39"/>
        <v>2.2809201990024119E-2</v>
      </c>
      <c r="H66" s="195">
        <f t="shared" si="39"/>
        <v>2.3361264747077115E-2</v>
      </c>
    </row>
    <row r="67" spans="1:8" x14ac:dyDescent="0.2">
      <c r="A67" s="10"/>
      <c r="B67" s="11" t="s">
        <v>18</v>
      </c>
      <c r="C67" s="195">
        <f t="shared" si="39"/>
        <v>2.9763534673733494E-2</v>
      </c>
      <c r="D67" s="195">
        <f t="shared" si="39"/>
        <v>3.8212766858828129E-2</v>
      </c>
      <c r="E67" s="195">
        <f t="shared" si="39"/>
        <v>2.265813328235855E-2</v>
      </c>
      <c r="F67" s="195">
        <f t="shared" si="39"/>
        <v>8.977233604853474E-3</v>
      </c>
      <c r="G67" s="195">
        <f t="shared" si="39"/>
        <v>9.8255665405801995E-3</v>
      </c>
      <c r="H67" s="195">
        <f t="shared" si="39"/>
        <v>9.5121852181576649E-3</v>
      </c>
    </row>
    <row r="68" spans="1:8" x14ac:dyDescent="0.2">
      <c r="A68" s="10"/>
      <c r="B68" s="11" t="s">
        <v>17</v>
      </c>
      <c r="C68" s="195">
        <f>D52/C52-1</f>
        <v>3.6387025689896602E-2</v>
      </c>
      <c r="D68" s="195">
        <f t="shared" ref="D68:H68" si="40">E52/D52-1</f>
        <v>5.0713479556784513E-2</v>
      </c>
      <c r="E68" s="195">
        <f t="shared" si="40"/>
        <v>2.8445036056762518E-2</v>
      </c>
      <c r="F68" s="195">
        <f t="shared" si="40"/>
        <v>1.3383964427542638E-2</v>
      </c>
      <c r="G68" s="195">
        <f t="shared" si="40"/>
        <v>1.4594816497167207E-2</v>
      </c>
      <c r="H68" s="195">
        <f t="shared" si="40"/>
        <v>1.4416325891847048E-2</v>
      </c>
    </row>
    <row r="69" spans="1:8" x14ac:dyDescent="0.2">
      <c r="A69" s="391"/>
      <c r="B69" s="174" t="str">
        <f>B53</f>
        <v>Cotsations SASPA</v>
      </c>
      <c r="C69" s="195" t="e">
        <f>D53/C53-1</f>
        <v>#DIV/0!</v>
      </c>
      <c r="D69" s="195" t="e">
        <f t="shared" ref="D69:H69" si="41">E53/D53-1</f>
        <v>#DIV/0!</v>
      </c>
      <c r="E69" s="195" t="e">
        <f t="shared" si="41"/>
        <v>#DIV/0!</v>
      </c>
      <c r="F69" s="195" t="e">
        <f t="shared" si="41"/>
        <v>#DIV/0!</v>
      </c>
      <c r="G69" s="195" t="e">
        <f t="shared" si="41"/>
        <v>#DIV/0!</v>
      </c>
      <c r="H69" s="195" t="e">
        <f t="shared" si="41"/>
        <v>#DIV/0!</v>
      </c>
    </row>
    <row r="70" spans="1:8" ht="14.25" x14ac:dyDescent="0.2">
      <c r="A70" s="17" t="s">
        <v>19</v>
      </c>
      <c r="B70" s="21"/>
      <c r="C70" s="187">
        <f t="shared" ref="C70:D70" si="42">D54/C54-1</f>
        <v>3.189179764702188E-2</v>
      </c>
      <c r="D70" s="187">
        <f t="shared" si="42"/>
        <v>4.6180033819907651E-2</v>
      </c>
      <c r="E70" s="187">
        <f>F54/E54-1</f>
        <v>2.8091823562312213E-2</v>
      </c>
      <c r="F70" s="187">
        <f t="shared" ref="F70:H70" si="43">G54/F54-1</f>
        <v>1.366722712655255E-2</v>
      </c>
      <c r="G70" s="187">
        <f t="shared" si="43"/>
        <v>1.4599316454339428E-2</v>
      </c>
      <c r="H70" s="187">
        <f t="shared" si="43"/>
        <v>1.4474080053055616E-2</v>
      </c>
    </row>
  </sheetData>
  <mergeCells count="14">
    <mergeCell ref="N3:R3"/>
    <mergeCell ref="A3:B3"/>
    <mergeCell ref="E3:I3"/>
    <mergeCell ref="A17:B17"/>
    <mergeCell ref="A57:B57"/>
    <mergeCell ref="D57:H57"/>
    <mergeCell ref="A22:B22"/>
    <mergeCell ref="D22:H22"/>
    <mergeCell ref="A36:B36"/>
    <mergeCell ref="A40:B40"/>
    <mergeCell ref="E40:I40"/>
    <mergeCell ref="N20:R20"/>
    <mergeCell ref="M12:N12"/>
    <mergeCell ref="O12:S12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0"/>
  <sheetViews>
    <sheetView zoomScale="80" zoomScaleNormal="80" workbookViewId="0">
      <pane xSplit="1" ySplit="1" topLeftCell="B2" activePane="bottomRight" state="frozen"/>
      <selection activeCell="A42" sqref="A42"/>
      <selection pane="topRight" activeCell="A42" sqref="A42"/>
      <selection pane="bottomLeft" activeCell="A42" sqref="A42"/>
      <selection pane="bottomRight"/>
    </sheetView>
  </sheetViews>
  <sheetFormatPr baseColWidth="10" defaultRowHeight="12.75" x14ac:dyDescent="0.2"/>
  <cols>
    <col min="1" max="1" width="30.5703125" customWidth="1"/>
    <col min="2" max="3" width="17.85546875" bestFit="1" customWidth="1"/>
    <col min="4" max="4" width="18.140625" bestFit="1" customWidth="1"/>
    <col min="5" max="5" width="17.85546875" bestFit="1" customWidth="1"/>
    <col min="6" max="8" width="18.140625" bestFit="1" customWidth="1"/>
    <col min="9" max="9" width="26.28515625" bestFit="1" customWidth="1"/>
    <col min="13" max="13" width="10.85546875" bestFit="1" customWidth="1"/>
  </cols>
  <sheetData>
    <row r="1" spans="1:12" x14ac:dyDescent="0.2">
      <c r="A1" s="72"/>
      <c r="B1" s="536" t="s">
        <v>122</v>
      </c>
      <c r="C1" s="536" t="s">
        <v>152</v>
      </c>
      <c r="D1" s="73" t="s">
        <v>271</v>
      </c>
      <c r="E1" s="73" t="s">
        <v>272</v>
      </c>
      <c r="F1" s="73" t="s">
        <v>273</v>
      </c>
      <c r="G1" s="73" t="s">
        <v>274</v>
      </c>
      <c r="H1" s="73" t="s">
        <v>275</v>
      </c>
      <c r="I1" s="73" t="s">
        <v>269</v>
      </c>
    </row>
    <row r="2" spans="1:12" x14ac:dyDescent="0.2">
      <c r="A2" s="74" t="s">
        <v>40</v>
      </c>
      <c r="B2" s="537">
        <f>TableauxNote!C5</f>
        <v>5880.6084375599994</v>
      </c>
      <c r="C2" s="537">
        <f>TableauxNote!D5</f>
        <v>6106.6009445300006</v>
      </c>
      <c r="D2" s="118">
        <f>TableauxNote!E5</f>
        <v>6010.9027175750416</v>
      </c>
      <c r="E2" s="118">
        <f>TableauxNote!F5</f>
        <v>6179.0660861673323</v>
      </c>
      <c r="F2" s="118">
        <f>TableauxNote!G5</f>
        <v>6297.9188820518339</v>
      </c>
      <c r="G2" s="118">
        <f>TableauxNote!H5</f>
        <v>6449.1207924532446</v>
      </c>
      <c r="H2" s="118">
        <f>TableauxNote!I5</f>
        <v>6588.8795054888024</v>
      </c>
      <c r="I2" s="116">
        <f>E10-E2</f>
        <v>0</v>
      </c>
    </row>
    <row r="3" spans="1:12" x14ac:dyDescent="0.2">
      <c r="A3" s="74" t="s">
        <v>41</v>
      </c>
      <c r="B3" s="537">
        <f>TableauxNote!C6</f>
        <v>725.69352690000005</v>
      </c>
      <c r="C3" s="537">
        <f>TableauxNote!D6</f>
        <v>740.97023516000002</v>
      </c>
      <c r="D3" s="118">
        <f>TableauxNote!E6</f>
        <v>761.11148401653543</v>
      </c>
      <c r="E3" s="118">
        <f>TableauxNote!F6</f>
        <v>783.88047217580879</v>
      </c>
      <c r="F3" s="118">
        <f>TableauxNote!G6</f>
        <v>807.88235513572079</v>
      </c>
      <c r="G3" s="118">
        <f>TableauxNote!H6</f>
        <v>833.47314352417618</v>
      </c>
      <c r="H3" s="118">
        <f>TableauxNote!I6</f>
        <v>861.39954133256526</v>
      </c>
      <c r="I3" s="116">
        <f>E11-E3</f>
        <v>57.273537321953313</v>
      </c>
    </row>
    <row r="4" spans="1:12" x14ac:dyDescent="0.2">
      <c r="A4" s="74" t="s">
        <v>42</v>
      </c>
      <c r="B4" s="537">
        <f>TableauxNote!C7</f>
        <v>953.31687942999997</v>
      </c>
      <c r="C4" s="537">
        <f>TableauxNote!D7</f>
        <v>1023.51358857</v>
      </c>
      <c r="D4" s="118">
        <f>TableauxNote!E7</f>
        <v>1023.2470491617455</v>
      </c>
      <c r="E4" s="118">
        <f>TableauxNote!F7</f>
        <v>1007.4754968821379</v>
      </c>
      <c r="F4" s="118">
        <f>TableauxNote!G7</f>
        <v>1019.235875343388</v>
      </c>
      <c r="G4" s="118">
        <f>TableauxNote!H7</f>
        <v>1030.2775893922976</v>
      </c>
      <c r="H4" s="118">
        <f>TableauxNote!I7</f>
        <v>1040.5134163048506</v>
      </c>
      <c r="I4" s="116">
        <f>E12-E4</f>
        <v>0</v>
      </c>
    </row>
    <row r="5" spans="1:12" x14ac:dyDescent="0.2">
      <c r="A5" s="74" t="s">
        <v>43</v>
      </c>
      <c r="B5" s="537">
        <f>TableauxNote!C8</f>
        <v>6805.3324983500024</v>
      </c>
      <c r="C5" s="537">
        <f>TableauxNote!D8</f>
        <v>6893.7466213700009</v>
      </c>
      <c r="D5" s="118">
        <f>TableauxNote!E8</f>
        <v>7191.9539999999997</v>
      </c>
      <c r="E5" s="118">
        <f>TableauxNote!F8</f>
        <v>7472.6660000000002</v>
      </c>
      <c r="F5" s="118">
        <f>TableauxNote!G8</f>
        <v>7771.5389999999998</v>
      </c>
      <c r="G5" s="118">
        <f>TableauxNote!H8</f>
        <v>8013.1310000000003</v>
      </c>
      <c r="H5" s="118">
        <f>TableauxNote!I8</f>
        <v>8262.7440000000006</v>
      </c>
      <c r="I5" s="116">
        <f>E13-E5</f>
        <v>0</v>
      </c>
    </row>
    <row r="6" spans="1:12" x14ac:dyDescent="0.2">
      <c r="A6" s="74" t="s">
        <v>249</v>
      </c>
      <c r="B6" s="537">
        <f>TableauxNote!C9</f>
        <v>679.87717814999996</v>
      </c>
      <c r="C6" s="537">
        <f>TableauxNote!D9</f>
        <v>697.76044102999992</v>
      </c>
      <c r="D6" s="118">
        <f>TableauxNote!E9</f>
        <v>711.15579867837289</v>
      </c>
      <c r="E6" s="118">
        <f>TableauxNote!F9</f>
        <v>745.92930829009288</v>
      </c>
      <c r="F6" s="118">
        <f>TableauxNote!G9</f>
        <v>758.59290006477045</v>
      </c>
      <c r="G6" s="118">
        <f>TableauxNote!H9</f>
        <v>766.58572842800152</v>
      </c>
      <c r="H6" s="118">
        <f>TableauxNote!I9</f>
        <v>772.11149670579823</v>
      </c>
      <c r="I6" s="116">
        <f>E14-E6</f>
        <v>0</v>
      </c>
    </row>
    <row r="7" spans="1:12" x14ac:dyDescent="0.2">
      <c r="A7" s="75" t="s">
        <v>44</v>
      </c>
      <c r="B7" s="538">
        <f>SUM(B2:B6)</f>
        <v>15044.828520390001</v>
      </c>
      <c r="C7" s="538">
        <f t="shared" ref="C7:H7" si="0">SUM(C2:C6)</f>
        <v>15462.591830660002</v>
      </c>
      <c r="D7" s="119">
        <f t="shared" si="0"/>
        <v>15698.371049431697</v>
      </c>
      <c r="E7" s="119">
        <f t="shared" si="0"/>
        <v>16189.017363515371</v>
      </c>
      <c r="F7" s="119">
        <f t="shared" si="0"/>
        <v>16655.169012595714</v>
      </c>
      <c r="G7" s="119">
        <f t="shared" si="0"/>
        <v>17092.588253797723</v>
      </c>
      <c r="H7" s="119">
        <f t="shared" si="0"/>
        <v>17525.647959832018</v>
      </c>
    </row>
    <row r="8" spans="1:12" x14ac:dyDescent="0.2">
      <c r="A8" s="75" t="s">
        <v>45</v>
      </c>
      <c r="B8" s="539">
        <f>TableauxNote!C10</f>
        <v>15044.828520390001</v>
      </c>
      <c r="C8" s="539">
        <f>TableauxNote!D10</f>
        <v>15462.591830660002</v>
      </c>
      <c r="D8" s="117">
        <f>TableauxNote!E10</f>
        <v>15698.371049431697</v>
      </c>
      <c r="E8" s="117">
        <f>TableauxNote!F10</f>
        <v>16189.017363515371</v>
      </c>
      <c r="F8" s="117">
        <f>TableauxNote!G10</f>
        <v>16655.169012595714</v>
      </c>
      <c r="G8" s="117">
        <f>TableauxNote!H10</f>
        <v>17092.588253797723</v>
      </c>
      <c r="H8" s="117">
        <f>TableauxNote!I10</f>
        <v>17525.647959832018</v>
      </c>
    </row>
    <row r="9" spans="1:12" x14ac:dyDescent="0.2">
      <c r="A9" s="75"/>
      <c r="B9" s="539"/>
      <c r="C9" s="539"/>
      <c r="D9" s="117"/>
      <c r="E9" s="117"/>
      <c r="F9" s="117"/>
      <c r="G9" s="117"/>
      <c r="H9" s="117"/>
    </row>
    <row r="10" spans="1:12" x14ac:dyDescent="0.2">
      <c r="A10" t="s">
        <v>46</v>
      </c>
      <c r="B10" s="540">
        <f>TableauxNote!C11</f>
        <v>5880.6084375599994</v>
      </c>
      <c r="C10" s="540">
        <f>TableauxNote!D11</f>
        <v>6106.6009445300006</v>
      </c>
      <c r="D10" s="120">
        <f>TableauxNote!E11</f>
        <v>6010.9027175750416</v>
      </c>
      <c r="E10" s="120">
        <f>TableauxNote!F11</f>
        <v>6179.0660861673314</v>
      </c>
      <c r="F10" s="120">
        <f>TableauxNote!G11</f>
        <v>6297.9188820518339</v>
      </c>
      <c r="G10" s="120">
        <f>TableauxNote!H11</f>
        <v>6449.1207924532446</v>
      </c>
      <c r="H10" s="120">
        <f>TableauxNote!I11</f>
        <v>6588.8795054888024</v>
      </c>
    </row>
    <row r="11" spans="1:12" x14ac:dyDescent="0.2">
      <c r="A11" t="s">
        <v>47</v>
      </c>
      <c r="B11" s="540">
        <f>TableauxNote!C12</f>
        <v>756.7026449199999</v>
      </c>
      <c r="C11" s="540">
        <f>TableauxNote!D12</f>
        <v>800.57428067000001</v>
      </c>
      <c r="D11" s="120">
        <f>TableauxNote!E12</f>
        <v>820.67185719756139</v>
      </c>
      <c r="E11" s="120">
        <f>TableauxNote!F12</f>
        <v>841.1540094977621</v>
      </c>
      <c r="F11" s="120">
        <f>TableauxNote!G12</f>
        <v>859.45166289037661</v>
      </c>
      <c r="G11" s="120">
        <f>TableauxNote!H12</f>
        <v>876.21156777978058</v>
      </c>
      <c r="H11" s="120">
        <f>TableauxNote!I12</f>
        <v>893.43193698711866</v>
      </c>
    </row>
    <row r="12" spans="1:12" x14ac:dyDescent="0.2">
      <c r="A12" t="s">
        <v>48</v>
      </c>
      <c r="B12" s="540">
        <f>TableauxNote!C13</f>
        <v>953.31687942999986</v>
      </c>
      <c r="C12" s="540">
        <f>TableauxNote!D13</f>
        <v>1023.5135885699997</v>
      </c>
      <c r="D12" s="120">
        <f>TableauxNote!E13</f>
        <v>1023.2470491617455</v>
      </c>
      <c r="E12" s="120">
        <f>TableauxNote!F13</f>
        <v>1007.4754968821378</v>
      </c>
      <c r="F12" s="120">
        <f>TableauxNote!G13</f>
        <v>1019.2358753433879</v>
      </c>
      <c r="G12" s="120">
        <f>TableauxNote!H13</f>
        <v>1030.2775893922976</v>
      </c>
      <c r="H12" s="120">
        <f>TableauxNote!I13</f>
        <v>1040.5134163048506</v>
      </c>
    </row>
    <row r="13" spans="1:12" x14ac:dyDescent="0.2">
      <c r="A13" t="s">
        <v>49</v>
      </c>
      <c r="B13" s="540">
        <f>TableauxNote!C14</f>
        <v>6805.3324983500006</v>
      </c>
      <c r="C13" s="540">
        <f>TableauxNote!D14</f>
        <v>6893.7466213700009</v>
      </c>
      <c r="D13" s="120">
        <f>TableauxNote!E14</f>
        <v>7191.9539999999997</v>
      </c>
      <c r="E13" s="120">
        <f>TableauxNote!F14</f>
        <v>7472.6660000000002</v>
      </c>
      <c r="F13" s="120">
        <f>TableauxNote!G14</f>
        <v>7771.5389999999998</v>
      </c>
      <c r="G13" s="120">
        <f>TableauxNote!H14</f>
        <v>8013.1310000000003</v>
      </c>
      <c r="H13" s="120">
        <f>TableauxNote!I14</f>
        <v>8262.7440000000006</v>
      </c>
    </row>
    <row r="14" spans="1:12" x14ac:dyDescent="0.2">
      <c r="A14" s="196" t="s">
        <v>250</v>
      </c>
      <c r="B14" s="540">
        <f>TableauxNote!C15</f>
        <v>679.87717815000008</v>
      </c>
      <c r="C14" s="540">
        <f>TableauxNote!D15</f>
        <v>697.76044103000015</v>
      </c>
      <c r="D14" s="120">
        <f>TableauxNote!E15</f>
        <v>711.15579867837289</v>
      </c>
      <c r="E14" s="120">
        <f>TableauxNote!F15</f>
        <v>745.92930829009288</v>
      </c>
      <c r="F14" s="120">
        <f>TableauxNote!G15</f>
        <v>758.59290006477045</v>
      </c>
      <c r="G14" s="120">
        <f>TableauxNote!H15</f>
        <v>766.58572842800152</v>
      </c>
      <c r="H14" s="120">
        <f>TableauxNote!I15</f>
        <v>772.11149670579834</v>
      </c>
    </row>
    <row r="15" spans="1:12" s="160" customFormat="1" x14ac:dyDescent="0.2">
      <c r="A15" s="186" t="s">
        <v>50</v>
      </c>
      <c r="B15" s="540">
        <f>SUM(B10:B14)</f>
        <v>15075.837638410001</v>
      </c>
      <c r="C15" s="540">
        <f t="shared" ref="C15:H15" si="1">SUM(C10:C14)</f>
        <v>15522.195876170003</v>
      </c>
      <c r="D15" s="371">
        <f t="shared" si="1"/>
        <v>15757.931422612723</v>
      </c>
      <c r="E15" s="371">
        <f t="shared" si="1"/>
        <v>16246.290900837324</v>
      </c>
      <c r="F15" s="371">
        <f t="shared" si="1"/>
        <v>16706.73832035037</v>
      </c>
      <c r="G15" s="371">
        <f t="shared" si="1"/>
        <v>17135.326678053327</v>
      </c>
      <c r="H15" s="371">
        <f t="shared" si="1"/>
        <v>17557.680355486573</v>
      </c>
      <c r="J15"/>
      <c r="K15"/>
      <c r="L15"/>
    </row>
    <row r="16" spans="1:12" x14ac:dyDescent="0.2">
      <c r="A16" s="80" t="s">
        <v>45</v>
      </c>
      <c r="B16" s="541">
        <f>TableauxNote!C16</f>
        <v>15075.837638410001</v>
      </c>
      <c r="C16" s="541">
        <f>TableauxNote!D16</f>
        <v>15522.195876170003</v>
      </c>
      <c r="D16" s="121">
        <f>TableauxNote!E16</f>
        <v>15757.931422612723</v>
      </c>
      <c r="E16" s="121">
        <f>TableauxNote!F16</f>
        <v>16246.290900837324</v>
      </c>
      <c r="F16" s="121">
        <f>TableauxNote!G16</f>
        <v>16706.73832035037</v>
      </c>
      <c r="G16" s="121">
        <f>TableauxNote!H16</f>
        <v>17135.326678053327</v>
      </c>
      <c r="H16" s="121">
        <f>TableauxNote!I16</f>
        <v>17557.680355486573</v>
      </c>
    </row>
    <row r="17" spans="1:13" x14ac:dyDescent="0.2">
      <c r="A17" s="80"/>
      <c r="B17" s="541"/>
      <c r="C17" s="541"/>
      <c r="D17" s="121"/>
      <c r="E17" s="121"/>
      <c r="F17" s="121"/>
      <c r="G17" s="121"/>
      <c r="H17" s="121"/>
    </row>
    <row r="18" spans="1:13" x14ac:dyDescent="0.2">
      <c r="A18" s="81" t="s">
        <v>51</v>
      </c>
      <c r="B18" s="542">
        <f>[4]Maladie!$H$197</f>
        <v>0</v>
      </c>
      <c r="C18" s="542">
        <f>[4]Maladie!$I$197</f>
        <v>0</v>
      </c>
      <c r="D18" s="370">
        <f>[4]Maladie!$R$197</f>
        <v>0</v>
      </c>
      <c r="E18" s="370">
        <f>[4]Maladie!$W$197</f>
        <v>0</v>
      </c>
      <c r="F18" s="370">
        <f>[4]Maladie!$AB$197</f>
        <v>0</v>
      </c>
      <c r="G18" s="370">
        <f>[4]Maladie!$AG$197</f>
        <v>0</v>
      </c>
      <c r="H18" s="370">
        <f>[4]Maladie!$AL$197</f>
        <v>0</v>
      </c>
      <c r="I18" s="190" t="s">
        <v>123</v>
      </c>
      <c r="M18" s="261"/>
    </row>
    <row r="19" spans="1:13" x14ac:dyDescent="0.2">
      <c r="A19" s="81" t="s">
        <v>52</v>
      </c>
      <c r="B19" s="542">
        <f>[4]AT!$H$139</f>
        <v>12.11324235</v>
      </c>
      <c r="C19" s="542">
        <f>[4]AT!$I$139</f>
        <v>11.665937100000001</v>
      </c>
      <c r="D19" s="370">
        <f>[4]AT!$R$139</f>
        <v>17</v>
      </c>
      <c r="E19" s="370">
        <f>[4]AT!$W$139</f>
        <v>17</v>
      </c>
      <c r="F19" s="370">
        <f>[4]AT!$AB$139</f>
        <v>17.607756704696129</v>
      </c>
      <c r="G19" s="370">
        <f>[4]AT!$AG$139</f>
        <v>18.192468216529129</v>
      </c>
      <c r="H19" s="370">
        <f>[4]AT!$AL$139</f>
        <v>18.81056183887879</v>
      </c>
      <c r="I19" s="190" t="s">
        <v>123</v>
      </c>
    </row>
    <row r="20" spans="1:13" x14ac:dyDescent="0.2">
      <c r="A20" s="81" t="s">
        <v>53</v>
      </c>
      <c r="B20" s="542">
        <f>[4]Famille!$H$122</f>
        <v>0</v>
      </c>
      <c r="C20" s="542">
        <f>[4]Famille!$I$122</f>
        <v>0</v>
      </c>
      <c r="D20" s="370">
        <f>[4]Famille!$R$122</f>
        <v>0</v>
      </c>
      <c r="E20" s="370">
        <f>[4]Famille!$W$122</f>
        <v>0</v>
      </c>
      <c r="F20" s="370">
        <f>[4]Famille!$AB$122</f>
        <v>0</v>
      </c>
      <c r="G20" s="370">
        <f>[4]Famille!$AG$122</f>
        <v>0</v>
      </c>
      <c r="H20" s="370">
        <f>[4]Famille!$AL$122</f>
        <v>0</v>
      </c>
      <c r="I20" s="190" t="s">
        <v>123</v>
      </c>
    </row>
    <row r="21" spans="1:13" x14ac:dyDescent="0.2">
      <c r="A21" s="81" t="s">
        <v>54</v>
      </c>
      <c r="B21" s="542">
        <f>[4]Vieillesse!$H$152</f>
        <v>0</v>
      </c>
      <c r="C21" s="542">
        <f>[4]Vieillesse!$I$152</f>
        <v>0</v>
      </c>
      <c r="D21" s="370">
        <f>[4]Vieillesse!$R$152</f>
        <v>0</v>
      </c>
      <c r="E21" s="370">
        <f>[4]Vieillesse!$W$152</f>
        <v>0</v>
      </c>
      <c r="F21" s="370">
        <f>[4]Vieillesse!$AB$152</f>
        <v>0</v>
      </c>
      <c r="G21" s="370">
        <f>[4]Vieillesse!$AG$152</f>
        <v>0</v>
      </c>
      <c r="H21" s="370">
        <f>[4]Vieillesse!$AL$152</f>
        <v>0</v>
      </c>
      <c r="I21" s="190" t="s">
        <v>123</v>
      </c>
    </row>
    <row r="22" spans="1:13" x14ac:dyDescent="0.2">
      <c r="A22" s="81" t="s">
        <v>251</v>
      </c>
      <c r="B22" s="542">
        <f>[4]SASPA!$H$152</f>
        <v>0</v>
      </c>
      <c r="C22" s="542">
        <f>[4]SASPA!$I$152</f>
        <v>0</v>
      </c>
      <c r="D22" s="370">
        <f>[4]SASPA!$R$152</f>
        <v>0</v>
      </c>
      <c r="E22" s="370">
        <f>[4]SASPA!$W$152</f>
        <v>0</v>
      </c>
      <c r="F22" s="370">
        <f>[4]SASPA!$AB$152</f>
        <v>0</v>
      </c>
      <c r="G22" s="370">
        <f>[4]SASPA!$AG$152</f>
        <v>0</v>
      </c>
      <c r="H22" s="370">
        <f>[4]SASPA!$AL$152</f>
        <v>0</v>
      </c>
      <c r="I22" s="190" t="s">
        <v>123</v>
      </c>
    </row>
    <row r="23" spans="1:13" s="80" customFormat="1" x14ac:dyDescent="0.2">
      <c r="A23" s="82" t="s">
        <v>55</v>
      </c>
      <c r="B23" s="543">
        <f>SUM(B18:B22)</f>
        <v>12.11324235</v>
      </c>
      <c r="C23" s="543">
        <f t="shared" ref="C23:G23" si="2">SUM(C18:C22)</f>
        <v>11.665937100000001</v>
      </c>
      <c r="D23" s="192">
        <f t="shared" si="2"/>
        <v>17</v>
      </c>
      <c r="E23" s="192">
        <f t="shared" si="2"/>
        <v>17</v>
      </c>
      <c r="F23" s="192">
        <f t="shared" si="2"/>
        <v>17.607756704696129</v>
      </c>
      <c r="G23" s="192">
        <f t="shared" si="2"/>
        <v>18.192468216529129</v>
      </c>
      <c r="H23" s="192">
        <f>SUM(H18:H22)</f>
        <v>18.81056183887879</v>
      </c>
      <c r="I23" s="191"/>
      <c r="J23"/>
      <c r="K23"/>
      <c r="L23"/>
    </row>
    <row r="24" spans="1:13" s="80" customFormat="1" x14ac:dyDescent="0.2">
      <c r="A24" s="82"/>
      <c r="B24" s="544"/>
      <c r="C24" s="544">
        <f>C18+C21</f>
        <v>0</v>
      </c>
      <c r="D24" s="122">
        <f>D18+D21</f>
        <v>0</v>
      </c>
      <c r="E24" s="122">
        <f>D24-C24</f>
        <v>0</v>
      </c>
      <c r="F24" s="122"/>
      <c r="G24" s="122"/>
      <c r="H24" s="122"/>
      <c r="I24" s="191"/>
      <c r="J24"/>
      <c r="K24"/>
      <c r="L24"/>
    </row>
    <row r="25" spans="1:13" x14ac:dyDescent="0.2">
      <c r="A25" s="83" t="s">
        <v>56</v>
      </c>
      <c r="B25" s="545">
        <v>0</v>
      </c>
      <c r="C25" s="545">
        <v>0</v>
      </c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190"/>
    </row>
    <row r="26" spans="1:13" x14ac:dyDescent="0.2">
      <c r="A26" s="83" t="s">
        <v>57</v>
      </c>
      <c r="B26" s="545">
        <v>0</v>
      </c>
      <c r="C26" s="545">
        <v>0</v>
      </c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190"/>
    </row>
    <row r="27" spans="1:13" x14ac:dyDescent="0.2">
      <c r="A27" s="83" t="s">
        <v>58</v>
      </c>
      <c r="B27" s="545">
        <v>0</v>
      </c>
      <c r="C27" s="545">
        <v>0</v>
      </c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190"/>
    </row>
    <row r="28" spans="1:13" x14ac:dyDescent="0.2">
      <c r="A28" s="83" t="s">
        <v>59</v>
      </c>
      <c r="B28" s="545">
        <f>[4]Vieillesse!$H$201</f>
        <v>2556.185583</v>
      </c>
      <c r="C28" s="545">
        <f>[4]Vieillesse!$I$201</f>
        <v>2497</v>
      </c>
      <c r="D28" s="372">
        <f>[4]Vieillesse!$R$201</f>
        <v>2613.0473715842845</v>
      </c>
      <c r="E28" s="372">
        <f>[4]Vieillesse!$W$201</f>
        <v>2627.833546425501</v>
      </c>
      <c r="F28" s="372">
        <f>[4]Vieillesse!$AB$201</f>
        <v>2635.490901693986</v>
      </c>
      <c r="G28" s="372">
        <f>[4]Vieillesse!$AG$201</f>
        <v>2626.5805467700188</v>
      </c>
      <c r="H28" s="372">
        <f>[4]Vieillesse!$AL$201</f>
        <v>2606.138871550776</v>
      </c>
      <c r="I28" s="190" t="s">
        <v>123</v>
      </c>
    </row>
    <row r="29" spans="1:13" x14ac:dyDescent="0.2">
      <c r="A29" s="83" t="s">
        <v>252</v>
      </c>
      <c r="B29" s="545">
        <v>0</v>
      </c>
      <c r="C29" s="545">
        <v>0</v>
      </c>
      <c r="D29" s="372">
        <v>0</v>
      </c>
      <c r="E29" s="372">
        <v>0</v>
      </c>
      <c r="F29" s="372">
        <v>0</v>
      </c>
      <c r="G29" s="372">
        <v>0</v>
      </c>
      <c r="H29" s="372">
        <v>0</v>
      </c>
      <c r="I29" s="190"/>
    </row>
    <row r="30" spans="1:13" x14ac:dyDescent="0.2">
      <c r="A30" s="84" t="s">
        <v>60</v>
      </c>
      <c r="B30" s="546">
        <f t="shared" ref="B30:H30" si="3">SUM(B25:B29)</f>
        <v>2556.185583</v>
      </c>
      <c r="C30" s="546">
        <f t="shared" si="3"/>
        <v>2497</v>
      </c>
      <c r="D30" s="124">
        <f t="shared" si="3"/>
        <v>2613.0473715842845</v>
      </c>
      <c r="E30" s="124">
        <f t="shared" si="3"/>
        <v>2627.833546425501</v>
      </c>
      <c r="F30" s="124">
        <f t="shared" si="3"/>
        <v>2635.490901693986</v>
      </c>
      <c r="G30" s="124">
        <f t="shared" si="3"/>
        <v>2626.5805467700188</v>
      </c>
      <c r="H30" s="124">
        <f t="shared" si="3"/>
        <v>2606.138871550776</v>
      </c>
      <c r="I30" s="190"/>
    </row>
    <row r="31" spans="1:13" x14ac:dyDescent="0.2">
      <c r="A31" s="83"/>
      <c r="B31" s="545"/>
      <c r="C31" s="545"/>
      <c r="D31" s="123"/>
      <c r="E31" s="123"/>
      <c r="F31" s="123"/>
      <c r="G31" s="123"/>
      <c r="H31" s="123"/>
      <c r="I31" s="190"/>
    </row>
    <row r="32" spans="1:13" x14ac:dyDescent="0.2">
      <c r="A32" s="85" t="s">
        <v>61</v>
      </c>
      <c r="B32" s="547">
        <f>[4]Maladie!$H$173</f>
        <v>140.74787162000001</v>
      </c>
      <c r="C32" s="547">
        <f>[4]Maladie!$I$173</f>
        <v>158.14943690000001</v>
      </c>
      <c r="D32" s="438">
        <f>[4]Maladie!$R$173</f>
        <v>171.29967999944495</v>
      </c>
      <c r="E32" s="438">
        <f>[4]Maladie!$W$173</f>
        <v>179.03137968005896</v>
      </c>
      <c r="F32" s="438">
        <f>[4]Maladie!$AB$173</f>
        <v>185.27191075579373</v>
      </c>
      <c r="G32" s="438">
        <f>[4]Maladie!$AG$173</f>
        <v>192.11619856802238</v>
      </c>
      <c r="H32" s="438">
        <f>[4]Maladie!$AL$173</f>
        <v>192.11619856802238</v>
      </c>
      <c r="I32" s="190" t="s">
        <v>123</v>
      </c>
    </row>
    <row r="33" spans="1:9" x14ac:dyDescent="0.2">
      <c r="A33" s="85" t="s">
        <v>62</v>
      </c>
      <c r="B33" s="547">
        <f>[4]AT!$H$108</f>
        <v>21.510850990000009</v>
      </c>
      <c r="C33" s="547">
        <f>[4]AT!$I$108</f>
        <v>21.758339149999998</v>
      </c>
      <c r="D33" s="438">
        <f>[4]AT!$R$108</f>
        <v>25.796719393291689</v>
      </c>
      <c r="E33" s="438">
        <f>[4]AT!$W$108</f>
        <v>27.1295483333604</v>
      </c>
      <c r="F33" s="438">
        <f>[4]AT!$AB$108</f>
        <v>28.170072448004674</v>
      </c>
      <c r="G33" s="438">
        <f>[4]AT!$AG$108</f>
        <v>29.301011645748158</v>
      </c>
      <c r="H33" s="438">
        <f>[4]AT!$AL$108</f>
        <v>29.305475869425848</v>
      </c>
      <c r="I33" s="190" t="s">
        <v>123</v>
      </c>
    </row>
    <row r="34" spans="1:9" x14ac:dyDescent="0.2">
      <c r="A34" s="85" t="s">
        <v>63</v>
      </c>
      <c r="B34" s="547">
        <f>[4]Famille!$H$103</f>
        <v>70.945559290000006</v>
      </c>
      <c r="C34" s="547">
        <f>[4]Famille!$I$103</f>
        <v>77.597631250000006</v>
      </c>
      <c r="D34" s="438">
        <f>[4]Famille!$R$103</f>
        <v>84.026243071572026</v>
      </c>
      <c r="E34" s="438">
        <f>[4]Famille!$W$103</f>
        <v>87.798960527216963</v>
      </c>
      <c r="F34" s="438">
        <f>[4]Famille!$AB$103</f>
        <v>90.843256884418324</v>
      </c>
      <c r="G34" s="438">
        <f>[4]Famille!$AG$103</f>
        <v>94.18332324605592</v>
      </c>
      <c r="H34" s="438">
        <f>[4]Famille!$AL$103</f>
        <v>97.644187087783934</v>
      </c>
      <c r="I34" s="190" t="s">
        <v>123</v>
      </c>
    </row>
    <row r="35" spans="1:9" x14ac:dyDescent="0.2">
      <c r="A35" s="85" t="s">
        <v>64</v>
      </c>
      <c r="B35" s="547">
        <f>[4]Vieillesse!$H$133</f>
        <v>251.30351136000002</v>
      </c>
      <c r="C35" s="547">
        <f>[4]Vieillesse!$I$133</f>
        <v>268.16722089000001</v>
      </c>
      <c r="D35" s="438">
        <f>[4]Vieillesse!$R$133</f>
        <v>290.09421979588177</v>
      </c>
      <c r="E35" s="438">
        <f>[4]Vieillesse!$W$133</f>
        <v>303.56411880449269</v>
      </c>
      <c r="F35" s="438">
        <f>[4]Vieillesse!$AB$133</f>
        <v>314.27152348205448</v>
      </c>
      <c r="G35" s="438">
        <f>[4]Vieillesse!$AG$133</f>
        <v>325.99998213377137</v>
      </c>
      <c r="H35" s="438">
        <f>[4]Vieillesse!$AL$133</f>
        <v>325.99998213377137</v>
      </c>
      <c r="I35" s="190" t="s">
        <v>123</v>
      </c>
    </row>
    <row r="36" spans="1:9" x14ac:dyDescent="0.2">
      <c r="A36" s="86" t="s">
        <v>65</v>
      </c>
      <c r="B36" s="548">
        <f>SUM(B32:B35)</f>
        <v>484.50779326000003</v>
      </c>
      <c r="C36" s="548">
        <f t="shared" ref="C36:H36" si="4">SUM(C32:C35)</f>
        <v>525.67262819000007</v>
      </c>
      <c r="D36" s="126">
        <f t="shared" si="4"/>
        <v>571.21686226019051</v>
      </c>
      <c r="E36" s="126">
        <f t="shared" si="4"/>
        <v>597.52400734512901</v>
      </c>
      <c r="F36" s="126">
        <f t="shared" si="4"/>
        <v>618.55676357027119</v>
      </c>
      <c r="G36" s="126">
        <f t="shared" si="4"/>
        <v>641.60051559359783</v>
      </c>
      <c r="H36" s="126">
        <f t="shared" si="4"/>
        <v>645.06584365900358</v>
      </c>
      <c r="I36" s="190"/>
    </row>
    <row r="37" spans="1:9" x14ac:dyDescent="0.2">
      <c r="A37" s="85"/>
      <c r="B37" s="547"/>
      <c r="C37" s="547"/>
      <c r="D37" s="125"/>
      <c r="E37" s="125"/>
      <c r="F37" s="125"/>
      <c r="G37" s="125"/>
      <c r="H37" s="125"/>
      <c r="I37" s="190"/>
    </row>
    <row r="38" spans="1:9" x14ac:dyDescent="0.2">
      <c r="A38" s="87" t="s">
        <v>66</v>
      </c>
      <c r="B38" s="549">
        <f>[4]Maladie!$H$192</f>
        <v>984.03851841999995</v>
      </c>
      <c r="C38" s="549">
        <f>[4]Maladie!$I$192</f>
        <v>1078.72517984</v>
      </c>
      <c r="D38" s="373">
        <f>[4]Maladie!$R$192</f>
        <v>1141.4368920230986</v>
      </c>
      <c r="E38" s="373">
        <f>[4]Maladie!$W$192</f>
        <v>1183.5688227739752</v>
      </c>
      <c r="F38" s="373">
        <f>[4]Maladie!$AB$192</f>
        <v>1206.4521844430506</v>
      </c>
      <c r="G38" s="373">
        <f>[4]Maladie!$AG$192</f>
        <v>1231.8246290956929</v>
      </c>
      <c r="H38" s="373">
        <f>[4]Maladie!$AL$192</f>
        <v>1257.7131400052735</v>
      </c>
      <c r="I38" s="190" t="s">
        <v>123</v>
      </c>
    </row>
    <row r="39" spans="1:9" x14ac:dyDescent="0.2">
      <c r="A39" s="87" t="s">
        <v>67</v>
      </c>
      <c r="B39" s="549">
        <v>0</v>
      </c>
      <c r="C39" s="549">
        <v>0</v>
      </c>
      <c r="D39" s="373">
        <v>0</v>
      </c>
      <c r="E39" s="373">
        <v>0</v>
      </c>
      <c r="F39" s="373">
        <v>0</v>
      </c>
      <c r="G39" s="373">
        <v>0</v>
      </c>
      <c r="H39" s="373">
        <v>0</v>
      </c>
      <c r="I39" s="190"/>
    </row>
    <row r="40" spans="1:9" x14ac:dyDescent="0.2">
      <c r="A40" s="87" t="s">
        <v>68</v>
      </c>
      <c r="B40" s="549">
        <v>0</v>
      </c>
      <c r="C40" s="549">
        <v>0</v>
      </c>
      <c r="D40" s="373">
        <v>0</v>
      </c>
      <c r="E40" s="373">
        <v>0</v>
      </c>
      <c r="F40" s="373">
        <v>0</v>
      </c>
      <c r="G40" s="373">
        <v>0</v>
      </c>
      <c r="H40" s="373">
        <v>0</v>
      </c>
      <c r="I40" s="190"/>
    </row>
    <row r="41" spans="1:9" x14ac:dyDescent="0.2">
      <c r="A41" s="87" t="s">
        <v>69</v>
      </c>
      <c r="B41" s="549">
        <v>0</v>
      </c>
      <c r="C41" s="549">
        <v>0</v>
      </c>
      <c r="D41" s="373">
        <v>0</v>
      </c>
      <c r="E41" s="373">
        <v>0</v>
      </c>
      <c r="F41" s="373">
        <v>0</v>
      </c>
      <c r="G41" s="373">
        <v>0</v>
      </c>
      <c r="H41" s="373">
        <v>0</v>
      </c>
      <c r="I41" s="190"/>
    </row>
    <row r="42" spans="1:9" x14ac:dyDescent="0.2">
      <c r="A42" s="87" t="s">
        <v>253</v>
      </c>
      <c r="B42" s="549">
        <v>0</v>
      </c>
      <c r="C42" s="549">
        <v>0</v>
      </c>
      <c r="D42" s="373">
        <v>0</v>
      </c>
      <c r="E42" s="373">
        <v>0</v>
      </c>
      <c r="F42" s="373">
        <v>0</v>
      </c>
      <c r="G42" s="373">
        <v>0</v>
      </c>
      <c r="H42" s="373">
        <v>0</v>
      </c>
      <c r="I42" s="190"/>
    </row>
    <row r="43" spans="1:9" x14ac:dyDescent="0.2">
      <c r="A43" s="88" t="s">
        <v>70</v>
      </c>
      <c r="B43" s="550">
        <f t="shared" ref="B43:H43" si="5">SUM(B38:B42)</f>
        <v>984.03851841999995</v>
      </c>
      <c r="C43" s="550">
        <f t="shared" si="5"/>
        <v>1078.72517984</v>
      </c>
      <c r="D43" s="127">
        <f t="shared" si="5"/>
        <v>1141.4368920230986</v>
      </c>
      <c r="E43" s="127">
        <f t="shared" si="5"/>
        <v>1183.5688227739752</v>
      </c>
      <c r="F43" s="127">
        <f t="shared" si="5"/>
        <v>1206.4521844430506</v>
      </c>
      <c r="G43" s="127">
        <f t="shared" si="5"/>
        <v>1231.8246290956929</v>
      </c>
      <c r="H43" s="127">
        <f t="shared" si="5"/>
        <v>1257.7131400052735</v>
      </c>
      <c r="I43" s="190"/>
    </row>
    <row r="44" spans="1:9" x14ac:dyDescent="0.2">
      <c r="B44" s="540"/>
      <c r="C44" s="540"/>
      <c r="D44" s="120"/>
      <c r="E44" s="120"/>
      <c r="F44" s="120"/>
      <c r="G44" s="120"/>
      <c r="H44" s="120"/>
      <c r="I44" s="190"/>
    </row>
    <row r="45" spans="1:9" x14ac:dyDescent="0.2">
      <c r="A45" s="169" t="s">
        <v>128</v>
      </c>
      <c r="B45" s="551">
        <f>[4]Maladie!$H$271</f>
        <v>403.49183062999998</v>
      </c>
      <c r="C45" s="551">
        <f>[4]Maladie!$I$271</f>
        <v>407.45439783999996</v>
      </c>
      <c r="D45" s="439">
        <f>[4]Maladie!$R$271</f>
        <v>395.87342986653937</v>
      </c>
      <c r="E45" s="439">
        <f>[4]Maladie!$W$271</f>
        <v>424.80746624207626</v>
      </c>
      <c r="F45" s="439">
        <f>[4]Maladie!$AB$271</f>
        <v>438.49726289577478</v>
      </c>
      <c r="G45" s="439">
        <f>[4]Maladie!$AG$271</f>
        <v>447.72685877565044</v>
      </c>
      <c r="H45" s="439">
        <f>[4]Maladie!$AL$271</f>
        <v>459.64630456458013</v>
      </c>
      <c r="I45" s="190" t="s">
        <v>123</v>
      </c>
    </row>
    <row r="46" spans="1:9" x14ac:dyDescent="0.2">
      <c r="A46" s="169" t="s">
        <v>124</v>
      </c>
      <c r="B46" s="551">
        <f>[4]AT!$H$219</f>
        <v>88.749631940000015</v>
      </c>
      <c r="C46" s="551">
        <f>[4]AT!$I$219</f>
        <v>90.1693499</v>
      </c>
      <c r="D46" s="439">
        <f>[4]AT!$R$219</f>
        <v>85.455354920000005</v>
      </c>
      <c r="E46" s="439">
        <f>[4]AT!$W$219</f>
        <v>88.086961039774323</v>
      </c>
      <c r="F46" s="439">
        <f>[4]AT!$AB$219</f>
        <v>90.742914105677684</v>
      </c>
      <c r="G46" s="439">
        <f>[4]AT!$AG$219</f>
        <v>93.084687179632695</v>
      </c>
      <c r="H46" s="439">
        <f>[4]AT!$AL$219</f>
        <v>95.432153015832924</v>
      </c>
      <c r="I46" s="190" t="s">
        <v>123</v>
      </c>
    </row>
    <row r="47" spans="1:9" x14ac:dyDescent="0.2">
      <c r="A47" s="169" t="s">
        <v>125</v>
      </c>
      <c r="B47" s="551">
        <f>[4]Famille!$H$180</f>
        <v>80.774962340000002</v>
      </c>
      <c r="C47" s="551">
        <f>[4]Famille!$I$180</f>
        <v>72.874318060000007</v>
      </c>
      <c r="D47" s="439">
        <f>[4]Famille!$R$180</f>
        <v>60.295213629999992</v>
      </c>
      <c r="E47" s="439">
        <f>[4]Famille!$W$180</f>
        <v>62.425367208813036</v>
      </c>
      <c r="F47" s="439">
        <f>[4]Famille!$AB$180</f>
        <v>63.735800643899651</v>
      </c>
      <c r="G47" s="439">
        <f>[4]Famille!$AG$180</f>
        <v>64.414289363652273</v>
      </c>
      <c r="H47" s="439">
        <f>[4]Famille!$AL$180</f>
        <v>65.086201851336739</v>
      </c>
      <c r="I47" s="190" t="s">
        <v>123</v>
      </c>
    </row>
    <row r="48" spans="1:9" x14ac:dyDescent="0.2">
      <c r="A48" s="169" t="s">
        <v>126</v>
      </c>
      <c r="B48" s="551">
        <f>[4]Vieillesse!$H$228</f>
        <v>191.56866783000001</v>
      </c>
      <c r="C48" s="551">
        <f>[4]Vieillesse!$I$228</f>
        <v>193.13758862000003</v>
      </c>
      <c r="D48" s="439">
        <f>[4]Vieillesse!$R$228</f>
        <v>158.90219425230987</v>
      </c>
      <c r="E48" s="439">
        <f>[4]Vieillesse!$W$228</f>
        <v>166.32334376428594</v>
      </c>
      <c r="F48" s="439">
        <f>[4]Vieillesse!$AB$228</f>
        <v>172.5736936244983</v>
      </c>
      <c r="G48" s="439">
        <f>[4]Vieillesse!$AG$228</f>
        <v>176.00793243732522</v>
      </c>
      <c r="H48" s="439">
        <f>[4]Vieillesse!$AL$228</f>
        <v>179.33737954725132</v>
      </c>
      <c r="I48" s="190" t="s">
        <v>123</v>
      </c>
    </row>
    <row r="49" spans="1:9" x14ac:dyDescent="0.2">
      <c r="A49" s="169" t="s">
        <v>254</v>
      </c>
      <c r="B49" s="551">
        <f>[4]SASPA!$H$228</f>
        <v>28.457053069999997</v>
      </c>
      <c r="C49" s="551">
        <f>[4]SASPA!$I$228</f>
        <v>31.258629859999999</v>
      </c>
      <c r="D49" s="439">
        <f>[4]SASPA!$R$228</f>
        <v>41.91202131</v>
      </c>
      <c r="E49" s="439">
        <f>[4]SASPA!$W$228</f>
        <v>42.66061000553762</v>
      </c>
      <c r="F49" s="439">
        <f>[4]SASPA!$AB$228</f>
        <v>44.320451212441696</v>
      </c>
      <c r="G49" s="439">
        <f>[4]SASPA!$AG$228</f>
        <v>44.995297037833581</v>
      </c>
      <c r="H49" s="439">
        <f>[4]SASPA!$AL$228</f>
        <v>45.460264535521397</v>
      </c>
      <c r="I49" s="190" t="s">
        <v>123</v>
      </c>
    </row>
    <row r="50" spans="1:9" x14ac:dyDescent="0.2">
      <c r="A50" s="170" t="s">
        <v>127</v>
      </c>
      <c r="B50" s="552">
        <f>SUM(B45:B49)</f>
        <v>793.04214581000008</v>
      </c>
      <c r="C50" s="552">
        <f t="shared" ref="C50:H50" si="6">SUM(C45:C49)</f>
        <v>794.89428428000008</v>
      </c>
      <c r="D50" s="171">
        <f t="shared" si="6"/>
        <v>742.43821397884926</v>
      </c>
      <c r="E50" s="171">
        <f t="shared" si="6"/>
        <v>784.30374826048705</v>
      </c>
      <c r="F50" s="171">
        <f t="shared" si="6"/>
        <v>809.87012248229212</v>
      </c>
      <c r="G50" s="171">
        <f t="shared" si="6"/>
        <v>826.22906479409426</v>
      </c>
      <c r="H50" s="171">
        <f t="shared" si="6"/>
        <v>844.96230351452266</v>
      </c>
      <c r="I50" s="190"/>
    </row>
    <row r="51" spans="1:9" x14ac:dyDescent="0.2">
      <c r="B51" s="540"/>
      <c r="C51" s="540"/>
      <c r="D51" s="120"/>
      <c r="E51" s="120"/>
      <c r="F51" s="120"/>
      <c r="G51" s="120"/>
      <c r="H51" s="120"/>
      <c r="I51" s="190"/>
    </row>
    <row r="52" spans="1:9" x14ac:dyDescent="0.2">
      <c r="A52" s="169" t="s">
        <v>138</v>
      </c>
      <c r="B52" s="551">
        <f>'[4]Prev Cot Exo (2)'!$O$19</f>
        <v>319.19019684000006</v>
      </c>
      <c r="C52" s="551">
        <f>'[4]Prev Cot Exo (2)'!$P$19</f>
        <v>368</v>
      </c>
      <c r="D52" s="439">
        <f>'[4]Prev Cot Exo (2)'!$Q$19</f>
        <v>411.52773050430324</v>
      </c>
      <c r="E52" s="439">
        <f>'[4]Prev Cot Exo (2)'!$R$19</f>
        <v>441.9077856170162</v>
      </c>
      <c r="F52" s="439">
        <f>'[4]Prev Cot Exo (2)'!$S$19</f>
        <v>458.99565661881189</v>
      </c>
      <c r="G52" s="439">
        <f>'[4]Prev Cot Exo (2)'!$T$19</f>
        <v>478.30158857953893</v>
      </c>
      <c r="H52" s="439">
        <f>'[4]Prev Cot Exo (2)'!$U$19</f>
        <v>498.40593720439369</v>
      </c>
      <c r="I52" s="190" t="s">
        <v>123</v>
      </c>
    </row>
    <row r="53" spans="1:9" x14ac:dyDescent="0.2">
      <c r="A53" s="169" t="s">
        <v>139</v>
      </c>
      <c r="B53" s="551">
        <f>'[5]Prev Cot Exo'!$N$41</f>
        <v>2.3486185999999956</v>
      </c>
      <c r="C53" s="551">
        <f>'[4]Prev Cot Exo (2)'!$P$40</f>
        <v>0</v>
      </c>
      <c r="D53" s="439">
        <f>'[4]Prev Cot Exo (2)'!$Q$40</f>
        <v>0</v>
      </c>
      <c r="E53" s="439">
        <f>'[4]Prev Cot Exo (2)'!$R$40</f>
        <v>0</v>
      </c>
      <c r="F53" s="439">
        <f>'[4]Prev Cot Exo (2)'!$S$40</f>
        <v>0</v>
      </c>
      <c r="G53" s="439">
        <f>'[4]Prev Cot Exo (2)'!$T$40</f>
        <v>0</v>
      </c>
      <c r="H53" s="439">
        <f>'[4]Prev Cot Exo (2)'!$U$40</f>
        <v>0</v>
      </c>
      <c r="I53" s="190" t="s">
        <v>123</v>
      </c>
    </row>
    <row r="54" spans="1:9" x14ac:dyDescent="0.2">
      <c r="A54" s="169" t="s">
        <v>140</v>
      </c>
      <c r="B54" s="551">
        <f>'[4]Prev Cot Exo (2)'!$O$28</f>
        <v>157.54734095000009</v>
      </c>
      <c r="C54" s="551">
        <f>'[4]Prev Cot Exo (2)'!$P$28</f>
        <v>181.6</v>
      </c>
      <c r="D54" s="439">
        <f>'[4]Prev Cot Exo (2)'!$Q$28</f>
        <v>203.07561630718357</v>
      </c>
      <c r="E54" s="439">
        <f>'[4]Prev Cot Exo (2)'!$R$28</f>
        <v>218.06719028422782</v>
      </c>
      <c r="F54" s="439">
        <f>'[4]Prev Cot Exo (2)'!$S$28</f>
        <v>226.49950159120797</v>
      </c>
      <c r="G54" s="439">
        <f>'[4]Prev Cot Exo (2)'!$T$28</f>
        <v>236.02635419602458</v>
      </c>
      <c r="H54" s="439">
        <f>'[4]Prev Cot Exo (2)'!$U$28</f>
        <v>245.9471995846057</v>
      </c>
      <c r="I54" s="190" t="s">
        <v>123</v>
      </c>
    </row>
    <row r="55" spans="1:9" x14ac:dyDescent="0.2">
      <c r="A55" s="169" t="s">
        <v>141</v>
      </c>
      <c r="B55" s="551">
        <f>'[4]Prev Cot Exo (2)'!$O$10</f>
        <v>477.2197766700001</v>
      </c>
      <c r="C55" s="551">
        <f>'[4]Prev Cot Exo (2)'!$P$10</f>
        <v>554.70000000000005</v>
      </c>
      <c r="D55" s="439">
        <f>'[4]Prev Cot Exo (2)'!$Q$10</f>
        <v>614.7005939902042</v>
      </c>
      <c r="E55" s="439">
        <f>'[4]Prev Cot Exo (2)'!$R$10</f>
        <v>660.07940212144513</v>
      </c>
      <c r="F55" s="439">
        <f>'[4]Prev Cot Exo (2)'!$S$10</f>
        <v>685.60362242601582</v>
      </c>
      <c r="G55" s="439">
        <f>'[4]Prev Cot Exo (2)'!$T$10</f>
        <v>714.4409691322769</v>
      </c>
      <c r="H55" s="439">
        <f>'[4]Prev Cot Exo (2)'!$U$10</f>
        <v>744.47091395844973</v>
      </c>
      <c r="I55" s="190" t="s">
        <v>123</v>
      </c>
    </row>
    <row r="56" spans="1:9" x14ac:dyDescent="0.2">
      <c r="A56" s="169" t="s">
        <v>255</v>
      </c>
      <c r="B56" s="551">
        <v>0</v>
      </c>
      <c r="C56" s="551">
        <v>0</v>
      </c>
      <c r="D56" s="439">
        <v>0</v>
      </c>
      <c r="E56" s="439">
        <v>0</v>
      </c>
      <c r="F56" s="439">
        <v>0</v>
      </c>
      <c r="G56" s="439">
        <v>0</v>
      </c>
      <c r="H56" s="439">
        <v>0</v>
      </c>
      <c r="I56" s="190" t="s">
        <v>123</v>
      </c>
    </row>
    <row r="57" spans="1:9" x14ac:dyDescent="0.2">
      <c r="A57" s="170" t="s">
        <v>142</v>
      </c>
      <c r="B57" s="552">
        <f>SUM(B52:B56)</f>
        <v>956.30593306000026</v>
      </c>
      <c r="C57" s="552">
        <f t="shared" ref="C57:H57" si="7">SUM(C52:C56)</f>
        <v>1104.3000000000002</v>
      </c>
      <c r="D57" s="171">
        <f t="shared" si="7"/>
        <v>1229.3039408016909</v>
      </c>
      <c r="E57" s="171">
        <f t="shared" si="7"/>
        <v>1320.0543780226892</v>
      </c>
      <c r="F57" s="171">
        <f t="shared" si="7"/>
        <v>1371.0987806360358</v>
      </c>
      <c r="G57" s="171">
        <f t="shared" si="7"/>
        <v>1428.7689119078404</v>
      </c>
      <c r="H57" s="171">
        <f t="shared" si="7"/>
        <v>1488.8240507474491</v>
      </c>
      <c r="I57" s="190"/>
    </row>
    <row r="58" spans="1:9" x14ac:dyDescent="0.2">
      <c r="B58" s="120"/>
      <c r="C58" s="120"/>
      <c r="D58" s="120"/>
      <c r="E58" s="120"/>
      <c r="F58" s="120"/>
      <c r="G58" s="120"/>
      <c r="H58" s="120"/>
    </row>
    <row r="59" spans="1:9" x14ac:dyDescent="0.2">
      <c r="B59" s="120"/>
      <c r="C59" s="120"/>
      <c r="D59" s="120"/>
      <c r="E59" s="120"/>
      <c r="F59" s="120"/>
      <c r="G59" s="120"/>
      <c r="H59" s="120"/>
    </row>
    <row r="60" spans="1:9" x14ac:dyDescent="0.2">
      <c r="B60" s="120"/>
      <c r="C60" s="120"/>
      <c r="D60" s="120"/>
      <c r="E60" s="120"/>
      <c r="F60" s="120"/>
      <c r="G60" s="120"/>
      <c r="H60" s="120"/>
    </row>
    <row r="61" spans="1:9" x14ac:dyDescent="0.2">
      <c r="B61" s="120"/>
      <c r="C61" s="120"/>
      <c r="D61" s="120"/>
      <c r="E61" s="120"/>
      <c r="F61" s="120"/>
      <c r="G61" s="120"/>
      <c r="H61" s="120"/>
    </row>
    <row r="62" spans="1:9" x14ac:dyDescent="0.2">
      <c r="B62" s="120"/>
      <c r="C62" s="120"/>
      <c r="D62" s="120"/>
      <c r="E62" s="120"/>
      <c r="F62" s="120"/>
      <c r="G62" s="120"/>
      <c r="H62" s="120"/>
    </row>
    <row r="63" spans="1:9" x14ac:dyDescent="0.2">
      <c r="B63" s="120"/>
      <c r="C63" s="120"/>
      <c r="D63" s="120"/>
      <c r="E63" s="120"/>
      <c r="F63" s="120"/>
      <c r="G63" s="120"/>
      <c r="H63" s="120"/>
    </row>
    <row r="64" spans="1:9" x14ac:dyDescent="0.2">
      <c r="B64" s="120"/>
      <c r="C64" s="120"/>
      <c r="D64" s="120"/>
      <c r="E64" s="120"/>
      <c r="F64" s="120"/>
      <c r="G64" s="120"/>
      <c r="H64" s="120"/>
    </row>
    <row r="65" spans="2:8" x14ac:dyDescent="0.2">
      <c r="B65" s="120"/>
      <c r="C65" s="120"/>
      <c r="D65" s="120"/>
      <c r="E65" s="120"/>
      <c r="F65" s="120"/>
      <c r="G65" s="120"/>
      <c r="H65" s="120"/>
    </row>
    <row r="66" spans="2:8" x14ac:dyDescent="0.2">
      <c r="B66" s="120"/>
      <c r="C66" s="120"/>
      <c r="D66" s="120"/>
      <c r="E66" s="120"/>
      <c r="F66" s="120"/>
      <c r="G66" s="120"/>
      <c r="H66" s="120"/>
    </row>
    <row r="67" spans="2:8" x14ac:dyDescent="0.2">
      <c r="B67" s="120"/>
      <c r="C67" s="120"/>
      <c r="D67" s="120"/>
      <c r="E67" s="120"/>
      <c r="F67" s="120"/>
      <c r="G67" s="120"/>
      <c r="H67" s="120"/>
    </row>
    <row r="68" spans="2:8" x14ac:dyDescent="0.2">
      <c r="B68" s="120"/>
      <c r="C68" s="120"/>
      <c r="D68" s="120"/>
      <c r="E68" s="120"/>
      <c r="F68" s="120"/>
      <c r="G68" s="120"/>
      <c r="H68" s="120"/>
    </row>
    <row r="69" spans="2:8" x14ac:dyDescent="0.2">
      <c r="B69" s="120"/>
      <c r="C69" s="120"/>
      <c r="D69" s="120"/>
      <c r="E69" s="120"/>
      <c r="F69" s="120"/>
      <c r="G69" s="120"/>
      <c r="H69" s="120"/>
    </row>
    <row r="70" spans="2:8" x14ac:dyDescent="0.2">
      <c r="B70" s="120"/>
      <c r="C70" s="120"/>
      <c r="D70" s="120"/>
      <c r="E70" s="120"/>
      <c r="F70" s="120"/>
      <c r="G70" s="120"/>
      <c r="H70" s="120"/>
    </row>
    <row r="71" spans="2:8" x14ac:dyDescent="0.2">
      <c r="B71" s="120"/>
      <c r="C71" s="120"/>
      <c r="D71" s="120"/>
      <c r="E71" s="120"/>
      <c r="F71" s="120"/>
      <c r="G71" s="120"/>
      <c r="H71" s="120"/>
    </row>
    <row r="72" spans="2:8" x14ac:dyDescent="0.2">
      <c r="B72" s="120"/>
      <c r="C72" s="120"/>
      <c r="D72" s="120"/>
      <c r="E72" s="120"/>
      <c r="F72" s="120"/>
      <c r="G72" s="120"/>
      <c r="H72" s="120"/>
    </row>
    <row r="73" spans="2:8" x14ac:dyDescent="0.2">
      <c r="B73" s="120"/>
      <c r="C73" s="120"/>
      <c r="D73" s="120"/>
      <c r="E73" s="120"/>
      <c r="F73" s="120"/>
      <c r="G73" s="120"/>
      <c r="H73" s="120"/>
    </row>
    <row r="74" spans="2:8" x14ac:dyDescent="0.2">
      <c r="B74" s="120"/>
      <c r="C74" s="120"/>
      <c r="D74" s="120"/>
      <c r="E74" s="120"/>
      <c r="F74" s="120"/>
      <c r="G74" s="120"/>
      <c r="H74" s="120"/>
    </row>
    <row r="75" spans="2:8" x14ac:dyDescent="0.2">
      <c r="B75" s="120"/>
      <c r="C75" s="120"/>
      <c r="D75" s="120"/>
      <c r="E75" s="120"/>
      <c r="F75" s="120"/>
      <c r="G75" s="120"/>
      <c r="H75" s="120"/>
    </row>
    <row r="76" spans="2:8" x14ac:dyDescent="0.2">
      <c r="B76" s="120"/>
      <c r="C76" s="120"/>
      <c r="D76" s="120"/>
      <c r="E76" s="120"/>
      <c r="F76" s="120"/>
      <c r="G76" s="120"/>
      <c r="H76" s="120"/>
    </row>
    <row r="77" spans="2:8" x14ac:dyDescent="0.2">
      <c r="B77" s="120"/>
      <c r="C77" s="120"/>
      <c r="D77" s="120"/>
      <c r="E77" s="120"/>
      <c r="F77" s="120"/>
      <c r="G77" s="120"/>
      <c r="H77" s="120"/>
    </row>
    <row r="78" spans="2:8" x14ac:dyDescent="0.2">
      <c r="B78" s="120"/>
      <c r="C78" s="120"/>
      <c r="D78" s="120"/>
      <c r="E78" s="120"/>
      <c r="F78" s="120"/>
      <c r="G78" s="120"/>
      <c r="H78" s="120"/>
    </row>
    <row r="79" spans="2:8" x14ac:dyDescent="0.2">
      <c r="B79" s="120"/>
      <c r="C79" s="120"/>
      <c r="D79" s="120"/>
      <c r="E79" s="120"/>
      <c r="F79" s="120"/>
      <c r="G79" s="120"/>
      <c r="H79" s="120"/>
    </row>
    <row r="80" spans="2:8" x14ac:dyDescent="0.2">
      <c r="B80" s="120"/>
      <c r="C80" s="120"/>
      <c r="D80" s="120"/>
      <c r="E80" s="120"/>
      <c r="F80" s="120"/>
      <c r="G80" s="120"/>
      <c r="H80" s="120"/>
    </row>
    <row r="81" spans="2:8" x14ac:dyDescent="0.2">
      <c r="B81" s="120"/>
      <c r="C81" s="120"/>
      <c r="D81" s="120"/>
      <c r="E81" s="120"/>
      <c r="F81" s="120"/>
      <c r="G81" s="120"/>
      <c r="H81" s="120"/>
    </row>
    <row r="82" spans="2:8" x14ac:dyDescent="0.2">
      <c r="B82" s="120"/>
      <c r="C82" s="120"/>
      <c r="D82" s="120"/>
      <c r="E82" s="120"/>
      <c r="F82" s="120"/>
      <c r="G82" s="120"/>
      <c r="H82" s="120"/>
    </row>
    <row r="83" spans="2:8" x14ac:dyDescent="0.2">
      <c r="B83" s="120"/>
      <c r="C83" s="120"/>
      <c r="D83" s="120"/>
      <c r="E83" s="120"/>
      <c r="F83" s="120"/>
      <c r="G83" s="120"/>
      <c r="H83" s="120"/>
    </row>
    <row r="84" spans="2:8" x14ac:dyDescent="0.2">
      <c r="B84" s="120"/>
      <c r="C84" s="120"/>
      <c r="D84" s="120"/>
      <c r="E84" s="120"/>
      <c r="F84" s="120"/>
      <c r="G84" s="120"/>
      <c r="H84" s="120"/>
    </row>
    <row r="85" spans="2:8" x14ac:dyDescent="0.2">
      <c r="B85" s="120"/>
      <c r="C85" s="120"/>
      <c r="D85" s="120"/>
      <c r="E85" s="120"/>
      <c r="F85" s="120"/>
      <c r="G85" s="120"/>
      <c r="H85" s="120"/>
    </row>
    <row r="86" spans="2:8" x14ac:dyDescent="0.2">
      <c r="B86" s="120"/>
      <c r="C86" s="120"/>
      <c r="D86" s="120"/>
      <c r="E86" s="120"/>
      <c r="F86" s="120"/>
      <c r="G86" s="120"/>
      <c r="H86" s="120"/>
    </row>
    <row r="87" spans="2:8" x14ac:dyDescent="0.2">
      <c r="B87" s="120"/>
      <c r="C87" s="120"/>
      <c r="D87" s="120"/>
      <c r="E87" s="120"/>
      <c r="F87" s="120"/>
      <c r="G87" s="120"/>
      <c r="H87" s="120"/>
    </row>
    <row r="88" spans="2:8" x14ac:dyDescent="0.2">
      <c r="B88" s="120"/>
      <c r="C88" s="120"/>
      <c r="D88" s="120"/>
      <c r="E88" s="120"/>
      <c r="F88" s="120"/>
      <c r="G88" s="120"/>
      <c r="H88" s="120"/>
    </row>
    <row r="89" spans="2:8" x14ac:dyDescent="0.2">
      <c r="B89" s="120"/>
      <c r="C89" s="120"/>
      <c r="D89" s="120"/>
      <c r="E89" s="120"/>
      <c r="F89" s="120"/>
      <c r="G89" s="120"/>
      <c r="H89" s="120"/>
    </row>
    <row r="90" spans="2:8" x14ac:dyDescent="0.2">
      <c r="B90" s="120"/>
      <c r="C90" s="120"/>
      <c r="D90" s="120"/>
      <c r="E90" s="120"/>
      <c r="F90" s="120"/>
      <c r="G90" s="120"/>
      <c r="H90" s="12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8"/>
  <sheetViews>
    <sheetView zoomScaleNormal="100" workbookViewId="0"/>
  </sheetViews>
  <sheetFormatPr baseColWidth="10" defaultRowHeight="12.75" x14ac:dyDescent="0.2"/>
  <cols>
    <col min="1" max="1" width="34.28515625" customWidth="1"/>
    <col min="2" max="7" width="11.42578125" customWidth="1"/>
    <col min="8" max="8" width="18.28515625" bestFit="1" customWidth="1"/>
    <col min="9" max="9" width="13.42578125" style="90" customWidth="1"/>
    <col min="10" max="10" width="4.5703125" customWidth="1"/>
  </cols>
  <sheetData>
    <row r="1" spans="1:11" ht="38.25" x14ac:dyDescent="0.2">
      <c r="A1" s="89" t="s">
        <v>95</v>
      </c>
      <c r="B1" s="193">
        <f>TableauxNote!C4</f>
        <v>2021</v>
      </c>
      <c r="C1" s="193">
        <f>TableauxNote!D4</f>
        <v>2022</v>
      </c>
      <c r="D1" s="193" t="str">
        <f>TableauxNote!E4</f>
        <v>2023(p)</v>
      </c>
      <c r="E1" s="193" t="str">
        <f>TableauxNote!F4</f>
        <v>2024(p)</v>
      </c>
      <c r="F1" s="193" t="str">
        <f>TableauxNote!G4</f>
        <v>2025(p)</v>
      </c>
      <c r="G1" s="193" t="str">
        <f>TableauxNote!H4</f>
        <v>2026(p)</v>
      </c>
      <c r="H1" s="193" t="str">
        <f>TableauxNote!I4</f>
        <v>2027(p)</v>
      </c>
      <c r="I1"/>
    </row>
    <row r="2" spans="1:11" x14ac:dyDescent="0.2">
      <c r="A2" s="91" t="s">
        <v>71</v>
      </c>
      <c r="B2" s="92">
        <f>'Détail CHG PDT'!B7</f>
        <v>15044.828520390001</v>
      </c>
      <c r="C2" s="318">
        <f>'Détail CHG PDT'!C7</f>
        <v>15462.591830660002</v>
      </c>
      <c r="D2" s="318">
        <f>'Détail CHG PDT'!D7</f>
        <v>15698.371049431697</v>
      </c>
      <c r="E2" s="92">
        <f>'Détail CHG PDT'!E7</f>
        <v>16189.017363515371</v>
      </c>
      <c r="F2" s="92">
        <f>'Détail CHG PDT'!F7</f>
        <v>16655.169012595714</v>
      </c>
      <c r="G2" s="92">
        <f>'Détail CHG PDT'!G7</f>
        <v>17092.588253797723</v>
      </c>
      <c r="H2" s="92">
        <f>'Détail CHG PDT'!H7</f>
        <v>17525.647959832018</v>
      </c>
    </row>
    <row r="3" spans="1:11" x14ac:dyDescent="0.2">
      <c r="A3" s="330" t="s">
        <v>263</v>
      </c>
      <c r="B3" s="207">
        <f>TableauxNote!C47</f>
        <v>12937.286749850002</v>
      </c>
      <c r="C3" s="207">
        <f>TableauxNote!D47</f>
        <v>13548.121648940003</v>
      </c>
      <c r="D3" s="207">
        <f>TableauxNote!E47</f>
        <v>13782.117761817268</v>
      </c>
      <c r="E3" s="207">
        <f>TableauxNote!F47</f>
        <v>14420.9451040161</v>
      </c>
      <c r="F3" s="207">
        <f>TableauxNote!G47</f>
        <v>14871.295947079065</v>
      </c>
      <c r="G3" s="207">
        <f>TableauxNote!H47</f>
        <v>15289.447600894282</v>
      </c>
      <c r="H3" s="207">
        <f>TableauxNote!I47</f>
        <v>15701.727156683919</v>
      </c>
      <c r="I3" s="564">
        <f>D3/D2</f>
        <v>0.87793298543011566</v>
      </c>
      <c r="J3" s="563">
        <f>(D3/D2)*C17*100</f>
        <v>1.5163202049743385</v>
      </c>
      <c r="K3" s="172" t="s">
        <v>283</v>
      </c>
    </row>
    <row r="4" spans="1:11" x14ac:dyDescent="0.2">
      <c r="A4" s="358" t="s">
        <v>73</v>
      </c>
      <c r="B4" s="92">
        <f>'Détail CHG PDT'!B15</f>
        <v>15075.837638410001</v>
      </c>
      <c r="C4" s="353">
        <f>'Détail CHG PDT'!C15</f>
        <v>15522.195876170003</v>
      </c>
      <c r="D4" s="353">
        <f>'Détail CHG PDT'!D15</f>
        <v>15757.931422612723</v>
      </c>
      <c r="E4" s="206">
        <f>'Détail CHG PDT'!E15</f>
        <v>16246.290900837324</v>
      </c>
      <c r="F4" s="206">
        <f>'Détail CHG PDT'!F15</f>
        <v>16706.73832035037</v>
      </c>
      <c r="G4" s="206">
        <f>'Détail CHG PDT'!G15</f>
        <v>17135.326678053327</v>
      </c>
      <c r="H4" s="206">
        <f>'Détail CHG PDT'!H15</f>
        <v>17557.680355486573</v>
      </c>
      <c r="I4" s="565">
        <f>D4/$D$4</f>
        <v>1</v>
      </c>
    </row>
    <row r="5" spans="1:11" x14ac:dyDescent="0.2">
      <c r="A5" s="359" t="s">
        <v>74</v>
      </c>
      <c r="B5" s="94">
        <f>TableauxNote!C54</f>
        <v>5760.6775169400007</v>
      </c>
      <c r="C5" s="354">
        <f>TableauxNote!D54</f>
        <v>5944.3958786200001</v>
      </c>
      <c r="D5" s="354">
        <f>TableauxNote!E54</f>
        <v>6218.9082813335908</v>
      </c>
      <c r="E5" s="207">
        <f>TableauxNote!F54</f>
        <v>6393.608755523017</v>
      </c>
      <c r="F5" s="207">
        <f>TableauxNote!G54</f>
        <v>6480.9916585430647</v>
      </c>
      <c r="G5" s="207">
        <f>TableauxNote!H54</f>
        <v>6575.6097067040691</v>
      </c>
      <c r="H5" s="207">
        <f>TableauxNote!I54</f>
        <v>6670.7856079965532</v>
      </c>
      <c r="I5" s="404">
        <f>D5/$D$4</f>
        <v>0.3946525793613635</v>
      </c>
      <c r="J5" s="128"/>
    </row>
    <row r="6" spans="1:11" x14ac:dyDescent="0.2">
      <c r="A6" s="359" t="s">
        <v>75</v>
      </c>
      <c r="B6" s="94">
        <f>'Détail CHG PDT'!B30</f>
        <v>2556.185583</v>
      </c>
      <c r="C6" s="354">
        <f>'Détail CHG PDT'!C30</f>
        <v>2497</v>
      </c>
      <c r="D6" s="354">
        <f>'Détail CHG PDT'!D30</f>
        <v>2613.0473715842845</v>
      </c>
      <c r="E6" s="207">
        <f>'Détail CHG PDT'!E30</f>
        <v>2627.833546425501</v>
      </c>
      <c r="F6" s="207">
        <f>'Détail CHG PDT'!F30</f>
        <v>2635.490901693986</v>
      </c>
      <c r="G6" s="207">
        <f>'Détail CHG PDT'!G30</f>
        <v>2626.5805467700188</v>
      </c>
      <c r="H6" s="207">
        <f>'Détail CHG PDT'!H30</f>
        <v>2606.138871550776</v>
      </c>
      <c r="I6" s="404">
        <f t="shared" ref="I6:I8" si="0">D6/$D$4</f>
        <v>0.1658242634458065</v>
      </c>
      <c r="J6" s="90"/>
    </row>
    <row r="7" spans="1:11" x14ac:dyDescent="0.2">
      <c r="A7" s="359" t="s">
        <v>76</v>
      </c>
      <c r="B7" s="94">
        <f>'Détail CHG PDT'!B43</f>
        <v>984.03851841999995</v>
      </c>
      <c r="C7" s="354">
        <f>'Détail CHG PDT'!C43</f>
        <v>1078.72517984</v>
      </c>
      <c r="D7" s="354">
        <f>'Détail CHG PDT'!D43</f>
        <v>1141.4368920230986</v>
      </c>
      <c r="E7" s="207">
        <f>'Détail CHG PDT'!E43</f>
        <v>1183.5688227739752</v>
      </c>
      <c r="F7" s="207">
        <f>'Détail CHG PDT'!F43</f>
        <v>1206.4521844430506</v>
      </c>
      <c r="G7" s="207">
        <f>'Détail CHG PDT'!G43</f>
        <v>1231.8246290956929</v>
      </c>
      <c r="H7" s="207">
        <f>'Détail CHG PDT'!H43</f>
        <v>1257.7131400052735</v>
      </c>
      <c r="I7" s="404">
        <f t="shared" si="0"/>
        <v>7.2435706274564068E-2</v>
      </c>
    </row>
    <row r="8" spans="1:11" x14ac:dyDescent="0.2">
      <c r="A8" s="359" t="s">
        <v>77</v>
      </c>
      <c r="B8" s="94">
        <f>'Détail CHG PDT'!B23</f>
        <v>12.11324235</v>
      </c>
      <c r="C8" s="354">
        <f>'Détail CHG PDT'!C23</f>
        <v>11.665937100000001</v>
      </c>
      <c r="D8" s="354">
        <f>'Détail CHG PDT'!D23</f>
        <v>17</v>
      </c>
      <c r="E8" s="207">
        <f>'Détail CHG PDT'!E23</f>
        <v>17</v>
      </c>
      <c r="F8" s="207">
        <f>'Détail CHG PDT'!F23</f>
        <v>17.607756704696129</v>
      </c>
      <c r="G8" s="207">
        <f>'Détail CHG PDT'!G23</f>
        <v>18.192468216529129</v>
      </c>
      <c r="H8" s="207">
        <f>'Détail CHG PDT'!H23</f>
        <v>18.81056183887879</v>
      </c>
      <c r="I8" s="404">
        <f t="shared" si="0"/>
        <v>1.0788218037048253E-3</v>
      </c>
    </row>
    <row r="9" spans="1:11" x14ac:dyDescent="0.2">
      <c r="A9" s="330" t="s">
        <v>137</v>
      </c>
      <c r="B9" s="207">
        <f>'Détail CHG PDT'!B36</f>
        <v>484.50779326000003</v>
      </c>
      <c r="C9" s="207">
        <f>'Détail CHG PDT'!C36</f>
        <v>525.67262819000007</v>
      </c>
      <c r="D9" s="207">
        <f>'Détail CHG PDT'!D36</f>
        <v>571.21686226019051</v>
      </c>
      <c r="E9" s="94">
        <f>'Détail CHG PDT'!E36</f>
        <v>597.52400734512901</v>
      </c>
      <c r="F9" s="94">
        <f>'Détail CHG PDT'!F36</f>
        <v>618.55676357027119</v>
      </c>
      <c r="G9" s="94">
        <f>'Détail CHG PDT'!G36</f>
        <v>641.60051559359783</v>
      </c>
      <c r="H9" s="94">
        <f>'Détail CHG PDT'!H36</f>
        <v>645.06584365900358</v>
      </c>
      <c r="I9" s="565">
        <f>D9/$D$4</f>
        <v>3.6249482685302911E-2</v>
      </c>
    </row>
    <row r="10" spans="1:11" x14ac:dyDescent="0.2">
      <c r="A10" s="330" t="s">
        <v>130</v>
      </c>
      <c r="B10" s="207">
        <f>'Détail CHG PDT'!B50</f>
        <v>793.04214581000008</v>
      </c>
      <c r="C10" s="207">
        <f>'Détail CHG PDT'!C50</f>
        <v>794.89428428000008</v>
      </c>
      <c r="D10" s="207">
        <f>'Détail CHG PDT'!D50</f>
        <v>742.43821397884926</v>
      </c>
      <c r="E10" s="94">
        <f>'Détail CHG PDT'!E50</f>
        <v>784.30374826048705</v>
      </c>
      <c r="F10" s="94">
        <f>'Détail CHG PDT'!F50</f>
        <v>809.87012248229212</v>
      </c>
      <c r="G10" s="94">
        <f>'Détail CHG PDT'!G50</f>
        <v>826.22906479409426</v>
      </c>
      <c r="H10" s="94">
        <f>'Détail CHG PDT'!H50</f>
        <v>844.96230351452266</v>
      </c>
      <c r="I10" s="565">
        <f>D10/$D$4</f>
        <v>4.7115207832003007E-2</v>
      </c>
    </row>
    <row r="11" spans="1:11" x14ac:dyDescent="0.2">
      <c r="A11" s="95" t="s">
        <v>39</v>
      </c>
      <c r="B11" s="92">
        <f t="shared" ref="B11:H11" si="1">B4-B2</f>
        <v>31.009118019999732</v>
      </c>
      <c r="C11" s="92">
        <f t="shared" si="1"/>
        <v>59.604045510001015</v>
      </c>
      <c r="D11" s="92">
        <f t="shared" si="1"/>
        <v>59.56037318102608</v>
      </c>
      <c r="E11" s="92">
        <f t="shared" si="1"/>
        <v>57.273537321952972</v>
      </c>
      <c r="F11" s="92">
        <f t="shared" si="1"/>
        <v>51.56930775465662</v>
      </c>
      <c r="G11" s="92">
        <f t="shared" si="1"/>
        <v>42.738424255603604</v>
      </c>
      <c r="H11" s="92">
        <f t="shared" si="1"/>
        <v>32.032395654554421</v>
      </c>
    </row>
    <row r="12" spans="1:11" x14ac:dyDescent="0.2">
      <c r="A12" s="557" t="s">
        <v>287</v>
      </c>
      <c r="B12" s="207">
        <f>TableauxNote!M18</f>
        <v>2565.96628199</v>
      </c>
      <c r="C12" s="207">
        <f>TableauxNote!N18</f>
        <v>2741.5570461999996</v>
      </c>
      <c r="D12" s="207">
        <f>TableauxNote!O18</f>
        <v>2372.2317555804852</v>
      </c>
      <c r="E12" s="207">
        <f>TableauxNote!P18</f>
        <v>2651.7747625042812</v>
      </c>
      <c r="F12" s="207">
        <f>TableauxNote!Q18</f>
        <v>2889.0192423093981</v>
      </c>
      <c r="G12" s="207">
        <f>TableauxNote!R18</f>
        <v>3123.6914344232955</v>
      </c>
      <c r="H12" s="207">
        <f>TableauxNote!S18</f>
        <v>3381.5426924654303</v>
      </c>
    </row>
    <row r="14" spans="1:11" s="160" customFormat="1" x14ac:dyDescent="0.2">
      <c r="A14" s="156"/>
      <c r="B14" s="157"/>
      <c r="C14" s="158"/>
      <c r="D14" s="158"/>
      <c r="E14" s="158"/>
      <c r="F14" s="158"/>
      <c r="G14" s="158"/>
      <c r="H14" s="158"/>
      <c r="I14" s="159"/>
    </row>
    <row r="15" spans="1:11" ht="38.25" x14ac:dyDescent="0.2">
      <c r="A15" s="89" t="s">
        <v>148</v>
      </c>
      <c r="B15" s="193" t="str">
        <f>TableauxNote!C23</f>
        <v>2022/2021</v>
      </c>
      <c r="C15" s="193" t="str">
        <f>TableauxNote!D23</f>
        <v>2023/2022</v>
      </c>
      <c r="D15" s="193" t="str">
        <f>TableauxNote!E23</f>
        <v>2024/2023</v>
      </c>
      <c r="E15" s="193" t="str">
        <f>TableauxNote!F23</f>
        <v>2025/2024</v>
      </c>
      <c r="F15" s="193" t="str">
        <f>TableauxNote!G23</f>
        <v>2026/2025</v>
      </c>
      <c r="G15" s="193" t="str">
        <f>TableauxNote!H23</f>
        <v>2027/2026</v>
      </c>
      <c r="H15" s="212" t="s">
        <v>103</v>
      </c>
    </row>
    <row r="16" spans="1:11" x14ac:dyDescent="0.2">
      <c r="A16" s="91" t="s">
        <v>71</v>
      </c>
      <c r="B16" s="141">
        <f t="shared" ref="B16:G25" si="2">C2/B2-1</f>
        <v>2.7767901089986724E-2</v>
      </c>
      <c r="C16" s="141">
        <f t="shared" si="2"/>
        <v>1.5248363363260964E-2</v>
      </c>
      <c r="D16" s="141">
        <f t="shared" si="2"/>
        <v>3.1254600400175692E-2</v>
      </c>
      <c r="E16" s="141">
        <f t="shared" si="2"/>
        <v>2.8794313985411657E-2</v>
      </c>
      <c r="F16" s="141">
        <f t="shared" si="2"/>
        <v>2.6263272433393103E-2</v>
      </c>
      <c r="G16" s="141">
        <f t="shared" si="2"/>
        <v>2.533611057635321E-2</v>
      </c>
      <c r="H16" s="319">
        <f t="shared" ref="H16:H26" si="3">(H2/D2)^(1/4)-1</f>
        <v>2.7909484833996911E-2</v>
      </c>
    </row>
    <row r="17" spans="1:11" x14ac:dyDescent="0.2">
      <c r="A17" s="330" t="s">
        <v>72</v>
      </c>
      <c r="B17" s="142">
        <f t="shared" si="2"/>
        <v>4.7215069967980972E-2</v>
      </c>
      <c r="C17" s="331">
        <f t="shared" si="2"/>
        <v>1.727148005757484E-2</v>
      </c>
      <c r="D17" s="142">
        <f t="shared" si="2"/>
        <v>4.6351899848706468E-2</v>
      </c>
      <c r="E17" s="142">
        <f t="shared" si="2"/>
        <v>3.1228940947673811E-2</v>
      </c>
      <c r="F17" s="142">
        <f t="shared" si="2"/>
        <v>2.8118037278207053E-2</v>
      </c>
      <c r="G17" s="142">
        <f t="shared" si="2"/>
        <v>2.6964973918712554E-2</v>
      </c>
      <c r="H17" s="319">
        <f t="shared" si="3"/>
        <v>3.3136886275380695E-2</v>
      </c>
    </row>
    <row r="18" spans="1:11" x14ac:dyDescent="0.2">
      <c r="A18" s="358" t="s">
        <v>73</v>
      </c>
      <c r="B18" s="141">
        <f t="shared" si="2"/>
        <v>2.9607524866331669E-2</v>
      </c>
      <c r="C18" s="355">
        <f t="shared" si="2"/>
        <v>1.5186997273022751E-2</v>
      </c>
      <c r="D18" s="141">
        <f t="shared" si="2"/>
        <v>3.0991344303212598E-2</v>
      </c>
      <c r="E18" s="141">
        <f t="shared" si="2"/>
        <v>2.8341694871985457E-2</v>
      </c>
      <c r="F18" s="141">
        <f t="shared" si="2"/>
        <v>2.5653622477638027E-2</v>
      </c>
      <c r="G18" s="141">
        <f t="shared" si="2"/>
        <v>2.4648125207568539E-2</v>
      </c>
      <c r="H18" s="355">
        <f t="shared" si="3"/>
        <v>2.7405728840881771E-2</v>
      </c>
      <c r="J18" s="90"/>
    </row>
    <row r="19" spans="1:11" x14ac:dyDescent="0.2">
      <c r="A19" s="359" t="s">
        <v>74</v>
      </c>
      <c r="B19" s="142">
        <f t="shared" si="2"/>
        <v>3.189179764702188E-2</v>
      </c>
      <c r="C19" s="356">
        <f t="shared" si="2"/>
        <v>4.6180033819907651E-2</v>
      </c>
      <c r="D19" s="142">
        <f t="shared" si="2"/>
        <v>2.8091823562312213E-2</v>
      </c>
      <c r="E19" s="142">
        <f t="shared" si="2"/>
        <v>1.366722712655255E-2</v>
      </c>
      <c r="F19" s="142">
        <f t="shared" si="2"/>
        <v>1.4599316454339428E-2</v>
      </c>
      <c r="G19" s="142">
        <f t="shared" si="2"/>
        <v>1.4474080053055616E-2</v>
      </c>
      <c r="H19" s="355">
        <f t="shared" si="3"/>
        <v>1.7690470444667206E-2</v>
      </c>
    </row>
    <row r="20" spans="1:11" x14ac:dyDescent="0.2">
      <c r="A20" s="359" t="s">
        <v>75</v>
      </c>
      <c r="B20" s="142">
        <f t="shared" si="2"/>
        <v>-2.3153867776117498E-2</v>
      </c>
      <c r="C20" s="356">
        <f t="shared" si="2"/>
        <v>4.6474718295668627E-2</v>
      </c>
      <c r="D20" s="142">
        <f t="shared" si="2"/>
        <v>5.6585942535942735E-3</v>
      </c>
      <c r="E20" s="142">
        <f t="shared" si="2"/>
        <v>2.9139422772423984E-3</v>
      </c>
      <c r="F20" s="142">
        <f t="shared" si="2"/>
        <v>-3.3809090056959867E-3</v>
      </c>
      <c r="G20" s="142">
        <f t="shared" si="2"/>
        <v>-7.7826188290248677E-3</v>
      </c>
      <c r="H20" s="355">
        <f t="shared" si="3"/>
        <v>-6.6161831539490734E-4</v>
      </c>
    </row>
    <row r="21" spans="1:11" x14ac:dyDescent="0.2">
      <c r="A21" s="359" t="s">
        <v>76</v>
      </c>
      <c r="B21" s="142">
        <f t="shared" si="2"/>
        <v>9.6222515325956604E-2</v>
      </c>
      <c r="C21" s="356">
        <f t="shared" si="2"/>
        <v>5.8135022112304924E-2</v>
      </c>
      <c r="D21" s="142">
        <f t="shared" si="2"/>
        <v>3.691130981074342E-2</v>
      </c>
      <c r="E21" s="142">
        <f t="shared" si="2"/>
        <v>1.9334204508228536E-2</v>
      </c>
      <c r="F21" s="142">
        <f t="shared" si="2"/>
        <v>2.1030625979060469E-2</v>
      </c>
      <c r="G21" s="142">
        <f t="shared" si="2"/>
        <v>2.1016393322632165E-2</v>
      </c>
      <c r="H21" s="355">
        <f t="shared" si="3"/>
        <v>2.4548267521158573E-2</v>
      </c>
    </row>
    <row r="22" spans="1:11" x14ac:dyDescent="0.2">
      <c r="A22" s="359" t="s">
        <v>77</v>
      </c>
      <c r="B22" s="142">
        <f t="shared" si="2"/>
        <v>-3.6926962829237797E-2</v>
      </c>
      <c r="C22" s="356">
        <f t="shared" si="2"/>
        <v>0.45723398422917949</v>
      </c>
      <c r="D22" s="142">
        <f t="shared" si="2"/>
        <v>0</v>
      </c>
      <c r="E22" s="142">
        <f t="shared" si="2"/>
        <v>3.5750394393889939E-2</v>
      </c>
      <c r="F22" s="142">
        <f t="shared" si="2"/>
        <v>3.3207609671086269E-2</v>
      </c>
      <c r="G22" s="142">
        <f t="shared" si="2"/>
        <v>3.3975248162757765E-2</v>
      </c>
      <c r="H22" s="355">
        <f t="shared" si="3"/>
        <v>2.5624086302034721E-2</v>
      </c>
    </row>
    <row r="23" spans="1:11" x14ac:dyDescent="0.2">
      <c r="A23" s="330" t="str">
        <f>A9</f>
        <v>Dont cotisations prises en charge par l'Etat</v>
      </c>
      <c r="B23" s="142">
        <f t="shared" si="2"/>
        <v>8.4962172957060877E-2</v>
      </c>
      <c r="C23" s="331">
        <f t="shared" si="2"/>
        <v>8.6639919272587296E-2</v>
      </c>
      <c r="D23" s="142">
        <f t="shared" si="2"/>
        <v>4.6054566703171984E-2</v>
      </c>
      <c r="E23" s="142">
        <f t="shared" si="2"/>
        <v>3.519985133081649E-2</v>
      </c>
      <c r="F23" s="142">
        <f t="shared" si="2"/>
        <v>3.7254062004462574E-2</v>
      </c>
      <c r="G23" s="142">
        <f t="shared" si="2"/>
        <v>5.4010680808129763E-3</v>
      </c>
      <c r="H23" s="262">
        <f t="shared" si="3"/>
        <v>3.0862536471630841E-2</v>
      </c>
    </row>
    <row r="24" spans="1:11" x14ac:dyDescent="0.2">
      <c r="A24" s="330" t="str">
        <f>A10</f>
        <v>Dont reprises sur provisions</v>
      </c>
      <c r="B24" s="142">
        <f t="shared" si="2"/>
        <v>2.3354855473769476E-3</v>
      </c>
      <c r="C24" s="331">
        <f t="shared" si="2"/>
        <v>-6.599125360256497E-2</v>
      </c>
      <c r="D24" s="142">
        <f t="shared" si="2"/>
        <v>5.6389250301750238E-2</v>
      </c>
      <c r="E24" s="142">
        <f t="shared" si="2"/>
        <v>3.2597541805083674E-2</v>
      </c>
      <c r="F24" s="142">
        <f t="shared" si="2"/>
        <v>2.0199463911153126E-2</v>
      </c>
      <c r="G24" s="142">
        <f t="shared" si="2"/>
        <v>2.2673178079370748E-2</v>
      </c>
      <c r="H24" s="262">
        <f t="shared" si="3"/>
        <v>3.2866648532354992E-2</v>
      </c>
    </row>
    <row r="25" spans="1:11" x14ac:dyDescent="0.2">
      <c r="A25" s="95" t="str">
        <f>A11</f>
        <v>RESULTAT NET SA</v>
      </c>
      <c r="B25" s="141">
        <f t="shared" si="2"/>
        <v>0.92214578536411818</v>
      </c>
      <c r="C25" s="141">
        <f t="shared" si="2"/>
        <v>-7.3270746307996237E-4</v>
      </c>
      <c r="D25" s="141">
        <f t="shared" si="2"/>
        <v>-3.839525739911942E-2</v>
      </c>
      <c r="E25" s="141">
        <f t="shared" si="2"/>
        <v>-9.9596250450378898E-2</v>
      </c>
      <c r="F25" s="141">
        <f t="shared" si="2"/>
        <v>-0.17124301030113409</v>
      </c>
      <c r="G25" s="141">
        <f t="shared" si="2"/>
        <v>-0.2505012477067512</v>
      </c>
      <c r="H25" s="332">
        <f t="shared" si="3"/>
        <v>-0.14363678789550705</v>
      </c>
    </row>
    <row r="26" spans="1:11" x14ac:dyDescent="0.2">
      <c r="A26" s="557" t="str">
        <f>A12</f>
        <v>Contribution du RG</v>
      </c>
      <c r="B26" s="142">
        <f>C12/B12-1</f>
        <v>6.8430659218882139E-2</v>
      </c>
      <c r="C26" s="142">
        <f t="shared" ref="C26:F26" si="4">D12/C12-1</f>
        <v>-0.13471369896585828</v>
      </c>
      <c r="D26" s="142">
        <f t="shared" si="4"/>
        <v>0.11783966986623184</v>
      </c>
      <c r="E26" s="142">
        <f t="shared" si="4"/>
        <v>8.946630127102817E-2</v>
      </c>
      <c r="F26" s="142">
        <f t="shared" si="4"/>
        <v>8.1229016642446084E-2</v>
      </c>
      <c r="G26" s="142">
        <f>H12/G12-1</f>
        <v>8.2546968372290586E-2</v>
      </c>
      <c r="H26" s="332">
        <f t="shared" si="3"/>
        <v>9.2671057984494265E-2</v>
      </c>
      <c r="K26" s="172" t="s">
        <v>284</v>
      </c>
    </row>
    <row r="28" spans="1:11" x14ac:dyDescent="0.2">
      <c r="A28" s="112" t="s">
        <v>94</v>
      </c>
      <c r="B28" s="193">
        <f t="shared" ref="B28:G28" si="5">C1</f>
        <v>2022</v>
      </c>
      <c r="C28" s="193" t="str">
        <f t="shared" si="5"/>
        <v>2023(p)</v>
      </c>
      <c r="D28" s="193" t="str">
        <f t="shared" si="5"/>
        <v>2024(p)</v>
      </c>
      <c r="E28" s="193" t="str">
        <f t="shared" si="5"/>
        <v>2025(p)</v>
      </c>
      <c r="F28" s="193" t="str">
        <f t="shared" si="5"/>
        <v>2026(p)</v>
      </c>
      <c r="G28" s="193" t="str">
        <f t="shared" si="5"/>
        <v>2027(p)</v>
      </c>
      <c r="H28" s="193" t="s">
        <v>167</v>
      </c>
    </row>
    <row r="29" spans="1:11" x14ac:dyDescent="0.2">
      <c r="A29" s="112" t="str">
        <f>A16</f>
        <v>Charges</v>
      </c>
      <c r="B29" s="114">
        <f t="shared" ref="B29:G29" si="6">(B2/B$2)*B16*100</f>
        <v>2.7767901089986724</v>
      </c>
      <c r="C29" s="114">
        <f t="shared" si="6"/>
        <v>1.5248363363260964</v>
      </c>
      <c r="D29" s="114">
        <f t="shared" si="6"/>
        <v>3.1254600400175692</v>
      </c>
      <c r="E29" s="114">
        <f t="shared" si="6"/>
        <v>2.8794313985411657</v>
      </c>
      <c r="F29" s="114">
        <f t="shared" si="6"/>
        <v>2.6263272433393103</v>
      </c>
      <c r="G29" s="114">
        <f t="shared" si="6"/>
        <v>2.533611057635321</v>
      </c>
      <c r="H29" s="561">
        <f>AVERAGE(C29:G29)</f>
        <v>2.5379332151718925</v>
      </c>
    </row>
    <row r="30" spans="1:11" x14ac:dyDescent="0.2">
      <c r="A30" s="93" t="s">
        <v>226</v>
      </c>
      <c r="B30" s="114">
        <f t="shared" ref="B30:G30" si="7">(B3/B$4)*B17*100</f>
        <v>4.0517476623237485</v>
      </c>
      <c r="C30" s="114">
        <f t="shared" si="7"/>
        <v>1.5074936223198994</v>
      </c>
      <c r="D30" s="114">
        <f t="shared" si="7"/>
        <v>4.0540050915700236</v>
      </c>
      <c r="E30" s="114">
        <f t="shared" si="7"/>
        <v>2.7720225238596075</v>
      </c>
      <c r="F30" s="114">
        <f t="shared" si="7"/>
        <v>2.5028922210738811</v>
      </c>
      <c r="G30" s="114">
        <f t="shared" si="7"/>
        <v>2.4060209853931651</v>
      </c>
      <c r="H30" s="561">
        <f>AVERAGE(C30:G30)</f>
        <v>2.6484868888433155</v>
      </c>
    </row>
    <row r="31" spans="1:11" x14ac:dyDescent="0.2">
      <c r="A31" s="358" t="s">
        <v>73</v>
      </c>
      <c r="B31" s="263">
        <f t="shared" ref="B31:G37" si="8">(B4/B$4)*B18*100</f>
        <v>2.9607524866331669</v>
      </c>
      <c r="C31" s="357">
        <f t="shared" si="8"/>
        <v>1.5186997273022751</v>
      </c>
      <c r="D31" s="263">
        <f t="shared" si="8"/>
        <v>3.0991344303212598</v>
      </c>
      <c r="E31" s="263">
        <f t="shared" si="8"/>
        <v>2.8341694871985457</v>
      </c>
      <c r="F31" s="263">
        <f t="shared" si="8"/>
        <v>2.5653622477638027</v>
      </c>
      <c r="G31" s="263">
        <f t="shared" si="8"/>
        <v>2.4648125207568539</v>
      </c>
      <c r="H31" s="562">
        <f>AVERAGE(C31:G31)</f>
        <v>2.4964356826685474</v>
      </c>
    </row>
    <row r="32" spans="1:11" x14ac:dyDescent="0.2">
      <c r="A32" s="359" t="s">
        <v>74</v>
      </c>
      <c r="B32" s="114">
        <f t="shared" si="8"/>
        <v>1.2186278871292959</v>
      </c>
      <c r="C32" s="357">
        <f t="shared" si="8"/>
        <v>1.7685152597193314</v>
      </c>
      <c r="D32" s="114">
        <f t="shared" si="8"/>
        <v>1.1086510627830841</v>
      </c>
      <c r="E32" s="114">
        <f t="shared" si="8"/>
        <v>0.5378637102672118</v>
      </c>
      <c r="F32" s="114">
        <f t="shared" si="8"/>
        <v>0.56634662222338583</v>
      </c>
      <c r="G32" s="114">
        <f t="shared" si="8"/>
        <v>0.55543674819099975</v>
      </c>
      <c r="H32" s="562">
        <f t="shared" ref="H32:H36" si="9">AVERAGE(C32:G32)</f>
        <v>0.9073626806368027</v>
      </c>
    </row>
    <row r="33" spans="1:19" x14ac:dyDescent="0.2">
      <c r="A33" s="359" t="s">
        <v>75</v>
      </c>
      <c r="B33" s="114">
        <f t="shared" si="8"/>
        <v>-0.39258570183329417</v>
      </c>
      <c r="C33" s="357">
        <f t="shared" si="8"/>
        <v>0.74762213097982422</v>
      </c>
      <c r="D33" s="114">
        <f t="shared" si="8"/>
        <v>9.3833222424094365E-2</v>
      </c>
      <c r="E33" s="114">
        <f t="shared" si="8"/>
        <v>4.7132944468515195E-2</v>
      </c>
      <c r="F33" s="114">
        <f t="shared" si="8"/>
        <v>-5.3333898892241507E-2</v>
      </c>
      <c r="G33" s="114">
        <f t="shared" si="8"/>
        <v>-0.11929550923253872</v>
      </c>
      <c r="H33" s="562">
        <f t="shared" si="9"/>
        <v>0.14319177794953072</v>
      </c>
    </row>
    <row r="34" spans="1:19" x14ac:dyDescent="0.2">
      <c r="A34" s="359" t="s">
        <v>76</v>
      </c>
      <c r="B34" s="114">
        <f t="shared" si="8"/>
        <v>0.62806899152826356</v>
      </c>
      <c r="C34" s="357">
        <f t="shared" si="8"/>
        <v>0.40401314790373721</v>
      </c>
      <c r="D34" s="114">
        <f t="shared" si="8"/>
        <v>0.26736967956604452</v>
      </c>
      <c r="E34" s="114">
        <f t="shared" si="8"/>
        <v>0.14085283717218147</v>
      </c>
      <c r="F34" s="114">
        <f t="shared" si="8"/>
        <v>0.15186952812767926</v>
      </c>
      <c r="G34" s="114">
        <f t="shared" si="8"/>
        <v>0.15108268080315146</v>
      </c>
      <c r="H34" s="562">
        <f>AVERAGE(C34:G34)</f>
        <v>0.22303757471455876</v>
      </c>
      <c r="S34" s="328"/>
    </row>
    <row r="35" spans="1:19" x14ac:dyDescent="0.2">
      <c r="A35" s="359" t="s">
        <v>77</v>
      </c>
      <c r="B35" s="114">
        <f t="shared" si="8"/>
        <v>-2.967034142503374E-3</v>
      </c>
      <c r="C35" s="357">
        <f t="shared" si="8"/>
        <v>3.4364099915714659E-2</v>
      </c>
      <c r="D35" s="114">
        <f t="shared" si="8"/>
        <v>0</v>
      </c>
      <c r="E35" s="114">
        <f t="shared" si="8"/>
        <v>3.7408951274213952E-3</v>
      </c>
      <c r="F35" s="114">
        <f t="shared" si="8"/>
        <v>3.499854373853261E-3</v>
      </c>
      <c r="G35" s="114">
        <f t="shared" si="8"/>
        <v>3.6071306603177016E-3</v>
      </c>
      <c r="H35" s="562">
        <f t="shared" si="9"/>
        <v>9.0423960154614041E-3</v>
      </c>
    </row>
    <row r="36" spans="1:19" x14ac:dyDescent="0.2">
      <c r="A36" s="330" t="str">
        <f>A23</f>
        <v>Dont cotisations prises en charge par l'Etat</v>
      </c>
      <c r="B36" s="114">
        <f t="shared" si="8"/>
        <v>0.27305172632743696</v>
      </c>
      <c r="C36" s="114">
        <f t="shared" si="8"/>
        <v>0.29341360226043051</v>
      </c>
      <c r="D36" s="114">
        <f t="shared" si="8"/>
        <v>0.16694542182857608</v>
      </c>
      <c r="E36" s="114">
        <f t="shared" si="8"/>
        <v>0.129461895970718</v>
      </c>
      <c r="F36" s="114">
        <f t="shared" si="8"/>
        <v>0.13793088502054965</v>
      </c>
      <c r="G36" s="114">
        <f t="shared" si="8"/>
        <v>2.0223297346551733E-2</v>
      </c>
      <c r="H36" s="561">
        <f t="shared" si="9"/>
        <v>0.14959502048536519</v>
      </c>
    </row>
    <row r="37" spans="1:19" x14ac:dyDescent="0.2">
      <c r="A37" s="330" t="str">
        <f>A24</f>
        <v>Dont reprises sur provisions</v>
      </c>
      <c r="B37" s="114">
        <f t="shared" si="8"/>
        <v>1.2285476365712545E-2</v>
      </c>
      <c r="C37" s="114">
        <f t="shared" si="8"/>
        <v>-0.33794232929171125</v>
      </c>
      <c r="D37" s="114">
        <f t="shared" si="8"/>
        <v>0.26567912474578009</v>
      </c>
      <c r="E37" s="114">
        <f t="shared" si="8"/>
        <v>0.15736745314887457</v>
      </c>
      <c r="F37" s="114">
        <f t="shared" si="8"/>
        <v>9.7918229148747121E-2</v>
      </c>
      <c r="G37" s="114">
        <f t="shared" si="8"/>
        <v>0.10932524994940251</v>
      </c>
      <c r="H37" s="561">
        <f>AVERAGE(C37:G37)</f>
        <v>5.8469545540218618E-2</v>
      </c>
    </row>
    <row r="38" spans="1:19" x14ac:dyDescent="0.2">
      <c r="A38" s="557" t="str">
        <f>A12</f>
        <v>Contribution du RG</v>
      </c>
      <c r="B38" s="114">
        <f>(B12/B$4)*B26*100</f>
        <v>1.1647164716249803</v>
      </c>
      <c r="C38" s="114">
        <f t="shared" ref="C38:G38" si="10">(C12/C$4)*C26*100</f>
        <v>-2.3793366194180696</v>
      </c>
      <c r="D38" s="114">
        <f t="shared" si="10"/>
        <v>1.7739828878976471</v>
      </c>
      <c r="E38" s="114">
        <f t="shared" si="10"/>
        <v>1.4602993461903957</v>
      </c>
      <c r="F38" s="114">
        <f t="shared" si="10"/>
        <v>1.4046559395022331</v>
      </c>
      <c r="G38" s="114">
        <f t="shared" si="10"/>
        <v>1.5047933598627381</v>
      </c>
      <c r="H38" s="561">
        <f>AVERAGE(C38:G38)</f>
        <v>0.75287898280698884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ignoredErrors>
    <ignoredError sqref="C22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K34"/>
  <sheetViews>
    <sheetView zoomScaleNormal="100" workbookViewId="0"/>
  </sheetViews>
  <sheetFormatPr baseColWidth="10" defaultRowHeight="12.75" x14ac:dyDescent="0.2"/>
  <cols>
    <col min="1" max="1" width="34.28515625" customWidth="1"/>
    <col min="8" max="8" width="21.7109375" bestFit="1" customWidth="1"/>
    <col min="9" max="9" width="11.42578125" style="90"/>
  </cols>
  <sheetData>
    <row r="1" spans="1:11" ht="38.25" x14ac:dyDescent="0.2">
      <c r="A1" s="89" t="s">
        <v>149</v>
      </c>
      <c r="B1" s="193">
        <f>TableauxNote!C4</f>
        <v>2021</v>
      </c>
      <c r="C1" s="193">
        <f>TableauxNote!D4</f>
        <v>2022</v>
      </c>
      <c r="D1" s="193" t="str">
        <f>TableauxNote!E4</f>
        <v>2023(p)</v>
      </c>
      <c r="E1" s="193" t="str">
        <f>TableauxNote!F4</f>
        <v>2024(p)</v>
      </c>
      <c r="F1" s="193" t="str">
        <f>TableauxNote!G4</f>
        <v>2025(p)</v>
      </c>
      <c r="G1" s="193" t="str">
        <f>TableauxNote!H4</f>
        <v>2026(p)</v>
      </c>
      <c r="H1" s="193" t="str">
        <f>TableauxNote!I4</f>
        <v>2027(p)</v>
      </c>
      <c r="K1" s="172" t="s">
        <v>239</v>
      </c>
    </row>
    <row r="2" spans="1:11" x14ac:dyDescent="0.2">
      <c r="A2" s="91" t="s">
        <v>71</v>
      </c>
      <c r="B2" s="92">
        <f>'Détail CHG PDT'!B5</f>
        <v>6805.3324983500024</v>
      </c>
      <c r="C2" s="92">
        <f>'Détail CHG PDT'!C5</f>
        <v>6893.7466213700009</v>
      </c>
      <c r="D2" s="92">
        <f>'Détail CHG PDT'!D5</f>
        <v>7191.9539999999997</v>
      </c>
      <c r="E2" s="92">
        <f>'Détail CHG PDT'!E5</f>
        <v>7472.6660000000002</v>
      </c>
      <c r="F2" s="92">
        <f>'Détail CHG PDT'!F5</f>
        <v>7771.5389999999998</v>
      </c>
      <c r="G2" s="92">
        <f>'Détail CHG PDT'!G5</f>
        <v>8013.1310000000003</v>
      </c>
      <c r="H2" s="92">
        <f>'Détail CHG PDT'!H5</f>
        <v>8262.7440000000006</v>
      </c>
    </row>
    <row r="3" spans="1:11" x14ac:dyDescent="0.2">
      <c r="A3" s="93" t="s">
        <v>72</v>
      </c>
      <c r="B3" s="94">
        <f>TableauxNote!C45</f>
        <v>6213.4170283700005</v>
      </c>
      <c r="C3" s="94">
        <f>TableauxNote!D45</f>
        <v>6499.3807921200005</v>
      </c>
      <c r="D3" s="94">
        <f>TableauxNote!E45</f>
        <v>6723.6242346497584</v>
      </c>
      <c r="E3" s="94">
        <f>TableauxNote!F45</f>
        <v>7175.5268792288289</v>
      </c>
      <c r="F3" s="94">
        <f>TableauxNote!G45</f>
        <v>7472.5688793031704</v>
      </c>
      <c r="G3" s="94">
        <f>TableauxNote!H45</f>
        <v>7712.3725952714285</v>
      </c>
      <c r="H3" s="94">
        <f>TableauxNote!I45</f>
        <v>7960.1096536249661</v>
      </c>
    </row>
    <row r="4" spans="1:11" x14ac:dyDescent="0.2">
      <c r="A4" s="91" t="s">
        <v>73</v>
      </c>
      <c r="B4" s="92">
        <f>'Détail CHG PDT'!B13</f>
        <v>6805.3324983500006</v>
      </c>
      <c r="C4" s="92">
        <f>'Détail CHG PDT'!C13</f>
        <v>6893.7466213700009</v>
      </c>
      <c r="D4" s="92">
        <f>'Détail CHG PDT'!D13</f>
        <v>7191.9539999999997</v>
      </c>
      <c r="E4" s="92">
        <f>'Détail CHG PDT'!E13</f>
        <v>7472.6660000000002</v>
      </c>
      <c r="F4" s="92">
        <f>'Détail CHG PDT'!F13</f>
        <v>7771.5389999999998</v>
      </c>
      <c r="G4" s="92">
        <f>'Détail CHG PDT'!G13</f>
        <v>8013.1310000000003</v>
      </c>
      <c r="H4" s="92">
        <f>'Détail CHG PDT'!H13</f>
        <v>8262.7440000000006</v>
      </c>
    </row>
    <row r="5" spans="1:11" x14ac:dyDescent="0.2">
      <c r="A5" s="93" t="s">
        <v>74</v>
      </c>
      <c r="B5" s="94">
        <f>TableauxNote!C52</f>
        <v>3022.4385234800002</v>
      </c>
      <c r="C5" s="94">
        <f>TableauxNote!D52</f>
        <v>3132.4160716800002</v>
      </c>
      <c r="D5" s="94">
        <f>TableauxNote!E52</f>
        <v>3291.2717900944872</v>
      </c>
      <c r="E5" s="94">
        <f>TableauxNote!F52</f>
        <v>3384.8921348363301</v>
      </c>
      <c r="F5" s="94">
        <f>TableauxNote!G52</f>
        <v>3430.1954107600482</v>
      </c>
      <c r="G5" s="94">
        <f>TableauxNote!H52</f>
        <v>3480.2584833295164</v>
      </c>
      <c r="H5" s="94">
        <f>TableauxNote!I52</f>
        <v>3530.4310238130602</v>
      </c>
    </row>
    <row r="6" spans="1:11" x14ac:dyDescent="0.2">
      <c r="A6" s="93" t="s">
        <v>75</v>
      </c>
      <c r="B6" s="94">
        <f>'Détail CHG PDT'!B28</f>
        <v>2556.185583</v>
      </c>
      <c r="C6" s="94">
        <f>'Détail CHG PDT'!C28</f>
        <v>2497</v>
      </c>
      <c r="D6" s="94">
        <f>'Détail CHG PDT'!D28</f>
        <v>2613.0473715842845</v>
      </c>
      <c r="E6" s="94">
        <f>'Détail CHG PDT'!E28</f>
        <v>2627.833546425501</v>
      </c>
      <c r="F6" s="94">
        <f>'Détail CHG PDT'!F28</f>
        <v>2635.490901693986</v>
      </c>
      <c r="G6" s="94">
        <f>'Détail CHG PDT'!G28</f>
        <v>2626.5805467700188</v>
      </c>
      <c r="H6" s="94">
        <f>'Détail CHG PDT'!H30</f>
        <v>2606.138871550776</v>
      </c>
      <c r="J6" s="90"/>
    </row>
    <row r="7" spans="1:11" x14ac:dyDescent="0.2">
      <c r="A7" s="93" t="s">
        <v>76</v>
      </c>
      <c r="B7" s="94">
        <f>'Détail CHG PDT'!B41</f>
        <v>0</v>
      </c>
      <c r="C7" s="94">
        <f>'Détail CHG PDT'!C41</f>
        <v>0</v>
      </c>
      <c r="D7" s="94">
        <f>'Détail CHG PDT'!D41</f>
        <v>0</v>
      </c>
      <c r="E7" s="94">
        <f>'Détail CHG PDT'!E41</f>
        <v>0</v>
      </c>
      <c r="F7" s="94">
        <f>'Détail CHG PDT'!F41</f>
        <v>0</v>
      </c>
      <c r="G7" s="94">
        <f>'Détail CHG PDT'!G41</f>
        <v>0</v>
      </c>
      <c r="H7" s="94">
        <f>'Détail CHG PDT'!H43</f>
        <v>1257.7131400052735</v>
      </c>
    </row>
    <row r="8" spans="1:11" x14ac:dyDescent="0.2">
      <c r="A8" s="93" t="s">
        <v>77</v>
      </c>
      <c r="B8" s="94">
        <f>'Détail CHG PDT'!B21</f>
        <v>0</v>
      </c>
      <c r="C8" s="94">
        <f>'Détail CHG PDT'!C21</f>
        <v>0</v>
      </c>
      <c r="D8" s="94">
        <f>'Détail CHG PDT'!D21</f>
        <v>0</v>
      </c>
      <c r="E8" s="94">
        <f>'Détail CHG PDT'!E21</f>
        <v>0</v>
      </c>
      <c r="F8" s="94">
        <f>'Détail CHG PDT'!F21</f>
        <v>0</v>
      </c>
      <c r="G8" s="94">
        <f>'Détail CHG PDT'!G21</f>
        <v>0</v>
      </c>
      <c r="H8" s="94">
        <f>'Détail CHG PDT'!H23</f>
        <v>18.81056183887879</v>
      </c>
    </row>
    <row r="9" spans="1:11" x14ac:dyDescent="0.2">
      <c r="A9" s="93" t="s">
        <v>137</v>
      </c>
      <c r="B9" s="94">
        <f>'Détail CHG PDT'!B35</f>
        <v>251.30351136000002</v>
      </c>
      <c r="C9" s="94">
        <f>'Détail CHG PDT'!C35</f>
        <v>268.16722089000001</v>
      </c>
      <c r="D9" s="94">
        <f>'Détail CHG PDT'!D35</f>
        <v>290.09421979588177</v>
      </c>
      <c r="E9" s="94">
        <f>'Détail CHG PDT'!E35</f>
        <v>303.56411880449269</v>
      </c>
      <c r="F9" s="94">
        <f>'Détail CHG PDT'!F35</f>
        <v>314.27152348205448</v>
      </c>
      <c r="G9" s="94">
        <f>'Détail CHG PDT'!G35</f>
        <v>325.99998213377137</v>
      </c>
      <c r="H9" s="94">
        <f>'Détail CHG PDT'!H35</f>
        <v>325.99998213377137</v>
      </c>
    </row>
    <row r="10" spans="1:11" x14ac:dyDescent="0.2">
      <c r="A10" s="93" t="s">
        <v>130</v>
      </c>
      <c r="B10" s="94">
        <f>'Détail CHG PDT'!B48</f>
        <v>191.56866783000001</v>
      </c>
      <c r="C10" s="94">
        <f>'Détail CHG PDT'!C48</f>
        <v>193.13758862000003</v>
      </c>
      <c r="D10" s="94">
        <f>'Détail CHG PDT'!D48</f>
        <v>158.90219425230987</v>
      </c>
      <c r="E10" s="94">
        <f>'Détail CHG PDT'!E48</f>
        <v>166.32334376428594</v>
      </c>
      <c r="F10" s="94">
        <f>'Détail CHG PDT'!F48</f>
        <v>172.5736936244983</v>
      </c>
      <c r="G10" s="94">
        <f>'Détail CHG PDT'!G48</f>
        <v>176.00793243732522</v>
      </c>
      <c r="H10" s="94">
        <f>'Détail CHG PDT'!H48</f>
        <v>179.33737954725132</v>
      </c>
    </row>
    <row r="11" spans="1:11" x14ac:dyDescent="0.2">
      <c r="A11" s="95" t="s">
        <v>39</v>
      </c>
      <c r="B11" s="92">
        <f t="shared" ref="B11:H11" si="0">B4-B2</f>
        <v>0</v>
      </c>
      <c r="C11" s="92">
        <f t="shared" si="0"/>
        <v>0</v>
      </c>
      <c r="D11" s="92">
        <f t="shared" si="0"/>
        <v>0</v>
      </c>
      <c r="E11" s="92">
        <f t="shared" si="0"/>
        <v>0</v>
      </c>
      <c r="F11" s="92">
        <f t="shared" si="0"/>
        <v>0</v>
      </c>
      <c r="G11" s="92">
        <f t="shared" si="0"/>
        <v>0</v>
      </c>
      <c r="H11" s="92">
        <f t="shared" si="0"/>
        <v>0</v>
      </c>
    </row>
    <row r="12" spans="1:11" x14ac:dyDescent="0.2">
      <c r="B12" s="128" t="b">
        <f>B11=TableauxNote!L8</f>
        <v>1</v>
      </c>
      <c r="C12" s="128" t="b">
        <f>C11=TableauxNote!M8</f>
        <v>1</v>
      </c>
      <c r="D12" s="128" t="b">
        <f>D11=TableauxNote!N8</f>
        <v>1</v>
      </c>
      <c r="E12" s="128" t="b">
        <f>E11=TableauxNote!O8</f>
        <v>1</v>
      </c>
      <c r="F12" s="128" t="b">
        <f>F11=TableauxNote!P8</f>
        <v>1</v>
      </c>
      <c r="G12" s="128" t="b">
        <f>G11=TableauxNote!Q8</f>
        <v>1</v>
      </c>
      <c r="H12" s="128" t="b">
        <f>H11=TableauxNote!R8</f>
        <v>1</v>
      </c>
    </row>
    <row r="13" spans="1:11" s="160" customFormat="1" x14ac:dyDescent="0.2">
      <c r="A13" s="156"/>
      <c r="B13" s="157"/>
      <c r="C13" s="158"/>
      <c r="D13" s="158"/>
      <c r="E13" s="158"/>
      <c r="F13" s="158"/>
      <c r="G13" s="158"/>
      <c r="H13" s="158"/>
      <c r="I13" s="159"/>
    </row>
    <row r="14" spans="1:11" ht="38.25" x14ac:dyDescent="0.2">
      <c r="A14" s="89" t="s">
        <v>148</v>
      </c>
      <c r="B14" s="193" t="str">
        <f>TableauxNote!C23</f>
        <v>2022/2021</v>
      </c>
      <c r="C14" s="193" t="str">
        <f>TableauxNote!D23</f>
        <v>2023/2022</v>
      </c>
      <c r="D14" s="193" t="str">
        <f>TableauxNote!E23</f>
        <v>2024/2023</v>
      </c>
      <c r="E14" s="193" t="str">
        <f>TableauxNote!F23</f>
        <v>2025/2024</v>
      </c>
      <c r="F14" s="193" t="str">
        <f>TableauxNote!G23</f>
        <v>2026/2025</v>
      </c>
      <c r="G14" s="193" t="str">
        <f>TableauxNote!H23</f>
        <v>2027/2026</v>
      </c>
      <c r="H14" s="193" t="s">
        <v>103</v>
      </c>
    </row>
    <row r="15" spans="1:11" x14ac:dyDescent="0.2">
      <c r="A15" s="91" t="s">
        <v>71</v>
      </c>
      <c r="B15" s="141">
        <f>C2/B2-1</f>
        <v>1.299188879330071E-2</v>
      </c>
      <c r="C15" s="141">
        <f t="shared" ref="B15:G24" si="1">D2/C2-1</f>
        <v>4.3257664519549044E-2</v>
      </c>
      <c r="D15" s="141">
        <f>E2/D2-1</f>
        <v>3.9031395362094878E-2</v>
      </c>
      <c r="E15" s="141">
        <f t="shared" si="1"/>
        <v>3.9995498259924878E-2</v>
      </c>
      <c r="F15" s="141">
        <f t="shared" si="1"/>
        <v>3.1086764153149149E-2</v>
      </c>
      <c r="G15" s="141">
        <f t="shared" si="1"/>
        <v>3.1150495355685592E-2</v>
      </c>
      <c r="H15" s="141">
        <f t="shared" ref="H15:H24" si="2">((H2/D2)^(1/5))-1</f>
        <v>2.8147631283954144E-2</v>
      </c>
    </row>
    <row r="16" spans="1:11" x14ac:dyDescent="0.2">
      <c r="A16" s="93" t="s">
        <v>72</v>
      </c>
      <c r="B16" s="142">
        <f t="shared" si="1"/>
        <v>4.6023590955557969E-2</v>
      </c>
      <c r="C16" s="142">
        <f t="shared" si="1"/>
        <v>3.4502277940328785E-2</v>
      </c>
      <c r="D16" s="142">
        <f t="shared" si="1"/>
        <v>6.7211168977918234E-2</v>
      </c>
      <c r="E16" s="142">
        <f t="shared" si="1"/>
        <v>4.1396542034313422E-2</v>
      </c>
      <c r="F16" s="142">
        <f t="shared" si="1"/>
        <v>3.2091201813133408E-2</v>
      </c>
      <c r="G16" s="142">
        <f t="shared" si="1"/>
        <v>3.2122029283884634E-2</v>
      </c>
      <c r="H16" s="142">
        <f t="shared" si="2"/>
        <v>3.4339531401067935E-2</v>
      </c>
    </row>
    <row r="17" spans="1:11" x14ac:dyDescent="0.2">
      <c r="A17" s="91" t="s">
        <v>73</v>
      </c>
      <c r="B17" s="141">
        <f t="shared" si="1"/>
        <v>1.2991888793300932E-2</v>
      </c>
      <c r="C17" s="141">
        <f t="shared" si="1"/>
        <v>4.3257664519549044E-2</v>
      </c>
      <c r="D17" s="141">
        <f t="shared" si="1"/>
        <v>3.9031395362094878E-2</v>
      </c>
      <c r="E17" s="141">
        <f t="shared" si="1"/>
        <v>3.9995498259924878E-2</v>
      </c>
      <c r="F17" s="141">
        <f t="shared" si="1"/>
        <v>3.1086764153149149E-2</v>
      </c>
      <c r="G17" s="141">
        <f t="shared" si="1"/>
        <v>3.1150495355685592E-2</v>
      </c>
      <c r="H17" s="141">
        <f t="shared" si="2"/>
        <v>2.8147631283954144E-2</v>
      </c>
    </row>
    <row r="18" spans="1:11" x14ac:dyDescent="0.2">
      <c r="A18" s="93" t="s">
        <v>74</v>
      </c>
      <c r="B18" s="142">
        <f t="shared" si="1"/>
        <v>3.6387025689896602E-2</v>
      </c>
      <c r="C18" s="142">
        <f t="shared" si="1"/>
        <v>5.0713479556784513E-2</v>
      </c>
      <c r="D18" s="142">
        <f t="shared" si="1"/>
        <v>2.8445036056762518E-2</v>
      </c>
      <c r="E18" s="142">
        <f t="shared" si="1"/>
        <v>1.3383964427542638E-2</v>
      </c>
      <c r="F18" s="142">
        <f t="shared" si="1"/>
        <v>1.4594816497167207E-2</v>
      </c>
      <c r="G18" s="142">
        <f t="shared" si="1"/>
        <v>1.4416325891847048E-2</v>
      </c>
      <c r="H18" s="142">
        <f t="shared" si="2"/>
        <v>1.4128053630077853E-2</v>
      </c>
    </row>
    <row r="19" spans="1:11" x14ac:dyDescent="0.2">
      <c r="A19" s="93" t="s">
        <v>75</v>
      </c>
      <c r="B19" s="142">
        <f t="shared" si="1"/>
        <v>-2.3153867776117498E-2</v>
      </c>
      <c r="C19" s="142">
        <f t="shared" si="1"/>
        <v>4.6474718295668627E-2</v>
      </c>
      <c r="D19" s="142">
        <f t="shared" si="1"/>
        <v>5.6585942535942735E-3</v>
      </c>
      <c r="E19" s="142">
        <f t="shared" si="1"/>
        <v>2.9139422772423984E-3</v>
      </c>
      <c r="F19" s="142">
        <f t="shared" si="1"/>
        <v>-3.3809090056959867E-3</v>
      </c>
      <c r="G19" s="142">
        <f t="shared" si="1"/>
        <v>-7.7826188290248677E-3</v>
      </c>
      <c r="H19" s="142">
        <f t="shared" si="2"/>
        <v>-5.2932968069063779E-4</v>
      </c>
    </row>
    <row r="20" spans="1:11" x14ac:dyDescent="0.2">
      <c r="A20" s="93" t="s">
        <v>76</v>
      </c>
      <c r="B20" s="142" t="e">
        <f>C7/B7-1</f>
        <v>#DIV/0!</v>
      </c>
      <c r="C20" s="142" t="e">
        <f t="shared" si="1"/>
        <v>#DIV/0!</v>
      </c>
      <c r="D20" s="142" t="e">
        <f t="shared" si="1"/>
        <v>#DIV/0!</v>
      </c>
      <c r="E20" s="142" t="e">
        <f t="shared" si="1"/>
        <v>#DIV/0!</v>
      </c>
      <c r="F20" s="142" t="e">
        <f t="shared" si="1"/>
        <v>#DIV/0!</v>
      </c>
      <c r="G20" s="142" t="e">
        <f t="shared" si="1"/>
        <v>#DIV/0!</v>
      </c>
      <c r="H20" s="142" t="e">
        <f t="shared" si="2"/>
        <v>#DIV/0!</v>
      </c>
    </row>
    <row r="21" spans="1:11" x14ac:dyDescent="0.2">
      <c r="A21" s="93" t="s">
        <v>77</v>
      </c>
      <c r="B21" s="142" t="e">
        <f t="shared" si="1"/>
        <v>#DIV/0!</v>
      </c>
      <c r="C21" s="142" t="e">
        <f t="shared" si="1"/>
        <v>#DIV/0!</v>
      </c>
      <c r="D21" s="142" t="e">
        <f t="shared" si="1"/>
        <v>#DIV/0!</v>
      </c>
      <c r="E21" s="142" t="e">
        <f t="shared" si="1"/>
        <v>#DIV/0!</v>
      </c>
      <c r="F21" s="142" t="e">
        <f t="shared" si="1"/>
        <v>#DIV/0!</v>
      </c>
      <c r="G21" s="142" t="e">
        <f t="shared" si="1"/>
        <v>#DIV/0!</v>
      </c>
      <c r="H21" s="142" t="e">
        <f t="shared" si="2"/>
        <v>#DIV/0!</v>
      </c>
    </row>
    <row r="22" spans="1:11" x14ac:dyDescent="0.2">
      <c r="A22" s="93" t="str">
        <f>A9</f>
        <v>Dont cotisations prises en charge par l'Etat</v>
      </c>
      <c r="B22" s="142">
        <f t="shared" si="1"/>
        <v>6.7104949862169638E-2</v>
      </c>
      <c r="C22" s="142">
        <f t="shared" si="1"/>
        <v>8.176614141396521E-2</v>
      </c>
      <c r="D22" s="142">
        <f t="shared" si="1"/>
        <v>4.6432841778401235E-2</v>
      </c>
      <c r="E22" s="142">
        <f t="shared" si="1"/>
        <v>3.527230003246129E-2</v>
      </c>
      <c r="F22" s="142">
        <f t="shared" si="1"/>
        <v>3.7319508053953898E-2</v>
      </c>
      <c r="G22" s="142">
        <f t="shared" si="1"/>
        <v>0</v>
      </c>
      <c r="H22" s="142">
        <f t="shared" si="2"/>
        <v>2.3612781564939178E-2</v>
      </c>
    </row>
    <row r="23" spans="1:11" x14ac:dyDescent="0.2">
      <c r="A23" s="93" t="str">
        <f>A10</f>
        <v>Dont reprises sur provisions</v>
      </c>
      <c r="B23" s="142">
        <f t="shared" si="1"/>
        <v>8.1898611488613327E-3</v>
      </c>
      <c r="C23" s="142">
        <f t="shared" si="1"/>
        <v>-0.17725909602738499</v>
      </c>
      <c r="D23" s="142">
        <f t="shared" si="1"/>
        <v>4.6702624509970869E-2</v>
      </c>
      <c r="E23" s="142">
        <f t="shared" si="1"/>
        <v>3.7579510601172039E-2</v>
      </c>
      <c r="F23" s="142">
        <f t="shared" si="1"/>
        <v>1.9900129276362755E-2</v>
      </c>
      <c r="G23" s="142">
        <f t="shared" si="1"/>
        <v>1.8916460547093061E-2</v>
      </c>
      <c r="H23" s="142">
        <f t="shared" si="2"/>
        <v>2.4491088492093471E-2</v>
      </c>
    </row>
    <row r="24" spans="1:11" x14ac:dyDescent="0.2">
      <c r="A24" s="95" t="str">
        <f>A11</f>
        <v>RESULTAT NET SA</v>
      </c>
      <c r="B24" s="141" t="e">
        <f t="shared" si="1"/>
        <v>#DIV/0!</v>
      </c>
      <c r="C24" s="141" t="e">
        <f t="shared" si="1"/>
        <v>#DIV/0!</v>
      </c>
      <c r="D24" s="141" t="e">
        <f t="shared" si="1"/>
        <v>#DIV/0!</v>
      </c>
      <c r="E24" s="141" t="e">
        <f t="shared" si="1"/>
        <v>#DIV/0!</v>
      </c>
      <c r="F24" s="141" t="e">
        <f t="shared" si="1"/>
        <v>#DIV/0!</v>
      </c>
      <c r="G24" s="141" t="e">
        <f t="shared" si="1"/>
        <v>#DIV/0!</v>
      </c>
      <c r="H24" s="141" t="e">
        <f t="shared" si="2"/>
        <v>#DIV/0!</v>
      </c>
    </row>
    <row r="25" spans="1:11" x14ac:dyDescent="0.2">
      <c r="B25" s="129" t="e">
        <f>B24=TableauxNote!C36</f>
        <v>#DIV/0!</v>
      </c>
      <c r="C25" s="129" t="e">
        <f>C24=TableauxNote!D36</f>
        <v>#DIV/0!</v>
      </c>
      <c r="D25" s="129" t="e">
        <f>D24=TableauxNote!E36</f>
        <v>#DIV/0!</v>
      </c>
      <c r="E25" s="129" t="e">
        <f>E24=TableauxNote!F36</f>
        <v>#DIV/0!</v>
      </c>
      <c r="F25" s="129" t="e">
        <f>F24=TableauxNote!G36</f>
        <v>#DIV/0!</v>
      </c>
      <c r="G25" s="129" t="e">
        <f>G24=TableauxNote!H36</f>
        <v>#DIV/0!</v>
      </c>
      <c r="J25" s="328"/>
      <c r="K25" s="172" t="s">
        <v>240</v>
      </c>
    </row>
    <row r="27" spans="1:11" x14ac:dyDescent="0.2">
      <c r="A27" s="112" t="s">
        <v>94</v>
      </c>
      <c r="B27" s="193">
        <f t="shared" ref="B27:G27" si="3">C1</f>
        <v>2022</v>
      </c>
      <c r="C27" s="193" t="str">
        <f t="shared" si="3"/>
        <v>2023(p)</v>
      </c>
      <c r="D27" s="193" t="str">
        <f t="shared" si="3"/>
        <v>2024(p)</v>
      </c>
      <c r="E27" s="193" t="str">
        <f t="shared" si="3"/>
        <v>2025(p)</v>
      </c>
      <c r="F27" s="193" t="str">
        <f t="shared" si="3"/>
        <v>2026(p)</v>
      </c>
      <c r="G27" s="193" t="str">
        <f t="shared" si="3"/>
        <v>2027(p)</v>
      </c>
    </row>
    <row r="28" spans="1:11" x14ac:dyDescent="0.2">
      <c r="A28" s="91" t="s">
        <v>73</v>
      </c>
      <c r="B28" s="115">
        <f>(B4/B$4)*B17*100</f>
        <v>1.2991888793300932</v>
      </c>
      <c r="C28" s="115">
        <f t="shared" ref="B28:G34" si="4">(C4/C$4)*C17*100</f>
        <v>4.3257664519549044</v>
      </c>
      <c r="D28" s="115">
        <f t="shared" si="4"/>
        <v>3.9031395362094878</v>
      </c>
      <c r="E28" s="115">
        <f t="shared" si="4"/>
        <v>3.9995498259924878</v>
      </c>
      <c r="F28" s="115">
        <f t="shared" si="4"/>
        <v>3.1086764153149149</v>
      </c>
      <c r="G28" s="115">
        <f t="shared" si="4"/>
        <v>3.1150495355685592</v>
      </c>
      <c r="H28" s="177"/>
    </row>
    <row r="29" spans="1:11" x14ac:dyDescent="0.2">
      <c r="A29" s="93" t="s">
        <v>74</v>
      </c>
      <c r="B29" s="114">
        <f>(B5/B$4)*B18*100</f>
        <v>1.6160495938540069</v>
      </c>
      <c r="C29" s="114">
        <f t="shared" si="4"/>
        <v>2.3043451861437485</v>
      </c>
      <c r="D29" s="114">
        <f t="shared" si="4"/>
        <v>1.3017372572439008</v>
      </c>
      <c r="E29" s="114">
        <f t="shared" si="4"/>
        <v>0.60625318893843638</v>
      </c>
      <c r="F29" s="114">
        <f t="shared" si="4"/>
        <v>0.64418479492244718</v>
      </c>
      <c r="G29" s="114">
        <f>(G5/G$4)*G18*100</f>
        <v>0.62612904348554455</v>
      </c>
      <c r="H29" s="177"/>
    </row>
    <row r="30" spans="1:11" x14ac:dyDescent="0.2">
      <c r="A30" s="93" t="s">
        <v>75</v>
      </c>
      <c r="B30" s="114">
        <f t="shared" si="4"/>
        <v>-0.86969421427020299</v>
      </c>
      <c r="C30" s="114">
        <f t="shared" si="4"/>
        <v>1.6833715823634718</v>
      </c>
      <c r="D30" s="114">
        <f t="shared" si="4"/>
        <v>0.20559328996287315</v>
      </c>
      <c r="E30" s="114">
        <f t="shared" si="4"/>
        <v>0.10247153115748907</v>
      </c>
      <c r="F30" s="114">
        <f t="shared" si="4"/>
        <v>-0.11465367315234518</v>
      </c>
      <c r="G30" s="114">
        <f t="shared" si="4"/>
        <v>-0.25510222183117659</v>
      </c>
      <c r="H30" s="177"/>
    </row>
    <row r="31" spans="1:11" x14ac:dyDescent="0.2">
      <c r="A31" s="93" t="s">
        <v>76</v>
      </c>
      <c r="B31" s="114" t="e">
        <f t="shared" si="4"/>
        <v>#DIV/0!</v>
      </c>
      <c r="C31" s="114" t="e">
        <f t="shared" si="4"/>
        <v>#DIV/0!</v>
      </c>
      <c r="D31" s="114" t="e">
        <f t="shared" si="4"/>
        <v>#DIV/0!</v>
      </c>
      <c r="E31" s="114" t="e">
        <f t="shared" si="4"/>
        <v>#DIV/0!</v>
      </c>
      <c r="F31" s="114" t="e">
        <f t="shared" si="4"/>
        <v>#DIV/0!</v>
      </c>
      <c r="G31" s="114" t="e">
        <f t="shared" si="4"/>
        <v>#DIV/0!</v>
      </c>
      <c r="H31" s="177"/>
    </row>
    <row r="32" spans="1:11" x14ac:dyDescent="0.2">
      <c r="A32" s="93" t="s">
        <v>77</v>
      </c>
      <c r="B32" s="114" t="e">
        <f t="shared" si="4"/>
        <v>#DIV/0!</v>
      </c>
      <c r="C32" s="114" t="e">
        <f t="shared" si="4"/>
        <v>#DIV/0!</v>
      </c>
      <c r="D32" s="114" t="e">
        <f t="shared" si="4"/>
        <v>#DIV/0!</v>
      </c>
      <c r="E32" s="114" t="e">
        <f t="shared" si="4"/>
        <v>#DIV/0!</v>
      </c>
      <c r="F32" s="114" t="e">
        <f t="shared" si="4"/>
        <v>#DIV/0!</v>
      </c>
      <c r="G32" s="114" t="e">
        <f t="shared" si="4"/>
        <v>#DIV/0!</v>
      </c>
      <c r="H32" s="177"/>
    </row>
    <row r="33" spans="1:8" x14ac:dyDescent="0.2">
      <c r="A33" s="93" t="str">
        <f>A22</f>
        <v>Dont cotisations prises en charge par l'Etat</v>
      </c>
      <c r="B33" s="114">
        <f t="shared" si="4"/>
        <v>0.2478014047673453</v>
      </c>
      <c r="C33" s="114">
        <f t="shared" si="4"/>
        <v>0.31807085624397685</v>
      </c>
      <c r="D33" s="114">
        <f t="shared" si="4"/>
        <v>0.18729122862313818</v>
      </c>
      <c r="E33" s="114">
        <f t="shared" si="4"/>
        <v>0.1432876121796664</v>
      </c>
      <c r="F33" s="114">
        <f t="shared" si="4"/>
        <v>0.15091552203131056</v>
      </c>
      <c r="G33" s="114">
        <f>(G9/G$4)*G22*100</f>
        <v>0</v>
      </c>
      <c r="H33" s="177"/>
    </row>
    <row r="34" spans="1:8" x14ac:dyDescent="0.2">
      <c r="A34" s="93" t="str">
        <f>A23</f>
        <v>Dont reprises sur provisions</v>
      </c>
      <c r="B34" s="114">
        <f t="shared" si="4"/>
        <v>2.3054285597073097E-2</v>
      </c>
      <c r="C34" s="114">
        <f t="shared" si="4"/>
        <v>-0.49661521155366356</v>
      </c>
      <c r="D34" s="114">
        <f t="shared" si="4"/>
        <v>0.10318683228474597</v>
      </c>
      <c r="E34" s="114">
        <f t="shared" si="4"/>
        <v>8.3642837244597382E-2</v>
      </c>
      <c r="F34" s="114">
        <f t="shared" si="4"/>
        <v>4.4189945039546673E-2</v>
      </c>
      <c r="G34" s="114">
        <f t="shared" si="4"/>
        <v>4.1549889923502857E-2</v>
      </c>
      <c r="H34" s="177"/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1"/>
  </sheetPr>
  <dimension ref="A1:Q85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7.28515625" defaultRowHeight="12.75" x14ac:dyDescent="0.2"/>
  <cols>
    <col min="1" max="1" width="38.5703125" bestFit="1" customWidth="1"/>
    <col min="2" max="3" width="11.5703125" bestFit="1" customWidth="1"/>
    <col min="4" max="4" width="10.42578125" bestFit="1" customWidth="1"/>
    <col min="5" max="5" width="9.42578125" style="148" customWidth="1"/>
    <col min="6" max="6" width="8.140625" style="148" customWidth="1"/>
    <col min="7" max="7" width="8.7109375" style="148" customWidth="1"/>
    <col min="8" max="8" width="16.42578125" style="148" customWidth="1"/>
    <col min="9" max="9" width="8.42578125" style="148" bestFit="1" customWidth="1"/>
    <col min="10" max="10" width="6.28515625" bestFit="1" customWidth="1"/>
    <col min="11" max="11" width="7.85546875" bestFit="1" customWidth="1"/>
    <col min="12" max="12" width="6.85546875" customWidth="1"/>
    <col min="13" max="13" width="6.85546875" style="9" bestFit="1" customWidth="1"/>
    <col min="14" max="15" width="5.85546875" style="9" bestFit="1" customWidth="1"/>
    <col min="16" max="16" width="12.42578125" bestFit="1" customWidth="1"/>
    <col min="17" max="17" width="11" bestFit="1" customWidth="1"/>
  </cols>
  <sheetData>
    <row r="1" spans="1:17" x14ac:dyDescent="0.2">
      <c r="A1" s="589" t="s">
        <v>27</v>
      </c>
      <c r="B1" s="591"/>
      <c r="C1" s="592"/>
      <c r="D1" s="188"/>
      <c r="E1" s="593" t="s">
        <v>1</v>
      </c>
      <c r="F1" s="593"/>
      <c r="G1" s="593"/>
      <c r="H1" s="593"/>
      <c r="I1" s="594"/>
      <c r="J1" s="595" t="s">
        <v>0</v>
      </c>
      <c r="K1" s="595"/>
      <c r="L1" s="595"/>
      <c r="M1" s="595"/>
      <c r="N1" s="595"/>
      <c r="O1" s="595"/>
      <c r="P1" s="553" t="s">
        <v>285</v>
      </c>
    </row>
    <row r="2" spans="1:17" x14ac:dyDescent="0.2">
      <c r="A2" s="590"/>
      <c r="B2" s="76">
        <v>2020</v>
      </c>
      <c r="C2" s="76">
        <f t="shared" ref="C2:I2" si="0">B2+1</f>
        <v>2021</v>
      </c>
      <c r="D2" s="76">
        <f t="shared" si="0"/>
        <v>2022</v>
      </c>
      <c r="E2" s="366">
        <f t="shared" si="0"/>
        <v>2023</v>
      </c>
      <c r="F2" s="366">
        <f t="shared" si="0"/>
        <v>2024</v>
      </c>
      <c r="G2" s="366">
        <f t="shared" si="0"/>
        <v>2025</v>
      </c>
      <c r="H2" s="366">
        <f t="shared" si="0"/>
        <v>2026</v>
      </c>
      <c r="I2" s="366">
        <f t="shared" si="0"/>
        <v>2027</v>
      </c>
      <c r="J2" s="78">
        <f t="shared" ref="J2:O2" si="1">D2</f>
        <v>2022</v>
      </c>
      <c r="K2" s="78">
        <f t="shared" si="1"/>
        <v>2023</v>
      </c>
      <c r="L2" s="78">
        <f t="shared" si="1"/>
        <v>2024</v>
      </c>
      <c r="M2" s="78">
        <f t="shared" si="1"/>
        <v>2025</v>
      </c>
      <c r="N2" s="78">
        <f t="shared" si="1"/>
        <v>2026</v>
      </c>
      <c r="O2" s="78">
        <f t="shared" si="1"/>
        <v>2027</v>
      </c>
      <c r="P2" s="252">
        <f>D3/F49</f>
        <v>0.83687089073941023</v>
      </c>
    </row>
    <row r="3" spans="1:17" x14ac:dyDescent="0.2">
      <c r="A3" s="79" t="s">
        <v>160</v>
      </c>
      <c r="B3" s="97"/>
      <c r="C3" s="97">
        <f>'RESULTAT NET'!B3</f>
        <v>12937.286749850002</v>
      </c>
      <c r="D3" s="97">
        <f>'RESULTAT NET'!C3</f>
        <v>13548.121648940003</v>
      </c>
      <c r="E3" s="97">
        <f>'RESULTAT NET'!D3</f>
        <v>13782.117761817268</v>
      </c>
      <c r="F3" s="97">
        <f>'RESULTAT NET'!E3</f>
        <v>14420.9451040161</v>
      </c>
      <c r="G3" s="97">
        <f>'RESULTAT NET'!F3</f>
        <v>14871.295947079065</v>
      </c>
      <c r="H3" s="97">
        <f>'RESULTAT NET'!G3</f>
        <v>15289.447600894282</v>
      </c>
      <c r="I3" s="97">
        <f>'RESULTAT NET'!H3</f>
        <v>15701.727156683919</v>
      </c>
      <c r="J3" s="199">
        <f t="shared" ref="J3:O4" si="2">D3/C3-1</f>
        <v>4.7215069967980972E-2</v>
      </c>
      <c r="K3" s="199">
        <f t="shared" si="2"/>
        <v>1.727148005757484E-2</v>
      </c>
      <c r="L3" s="199">
        <f t="shared" si="2"/>
        <v>4.6351899848706468E-2</v>
      </c>
      <c r="M3" s="199">
        <f t="shared" si="2"/>
        <v>3.1228940947673811E-2</v>
      </c>
      <c r="N3" s="199">
        <f t="shared" si="2"/>
        <v>2.8118037278207053E-2</v>
      </c>
      <c r="O3" s="199">
        <f t="shared" si="2"/>
        <v>2.6964973918712554E-2</v>
      </c>
      <c r="P3" s="222">
        <f>D4/D49</f>
        <v>0.87618663017481735</v>
      </c>
    </row>
    <row r="4" spans="1:17" x14ac:dyDescent="0.2">
      <c r="A4" s="98" t="s">
        <v>80</v>
      </c>
      <c r="B4" s="99">
        <f t="shared" ref="B4" si="3">SUM(B6:B9)</f>
        <v>12460.963840220002</v>
      </c>
      <c r="C4" s="99">
        <f>SUM(C6:C10)</f>
        <v>12937.286749850002</v>
      </c>
      <c r="D4" s="99">
        <f>SUM(D6:D10)</f>
        <v>13548.121648940003</v>
      </c>
      <c r="E4" s="396">
        <f>SUM(E6:E10)</f>
        <v>13782.117761817268</v>
      </c>
      <c r="F4" s="396">
        <f t="shared" ref="F4:I4" si="4">SUM(F6:F10)</f>
        <v>14420.9451040161</v>
      </c>
      <c r="G4" s="396">
        <f t="shared" si="4"/>
        <v>14871.295947079065</v>
      </c>
      <c r="H4" s="396">
        <f t="shared" si="4"/>
        <v>15289.447600894282</v>
      </c>
      <c r="I4" s="396">
        <f t="shared" si="4"/>
        <v>15701.727156683919</v>
      </c>
      <c r="J4" s="100">
        <f>D4/C4-1</f>
        <v>4.7215069967980972E-2</v>
      </c>
      <c r="K4" s="100">
        <f t="shared" si="2"/>
        <v>1.727148005757484E-2</v>
      </c>
      <c r="L4" s="100">
        <f t="shared" si="2"/>
        <v>4.6351899848706468E-2</v>
      </c>
      <c r="M4" s="100">
        <f t="shared" si="2"/>
        <v>3.1228940947673811E-2</v>
      </c>
      <c r="N4" s="100">
        <f t="shared" si="2"/>
        <v>2.8118037278207053E-2</v>
      </c>
      <c r="O4" s="100">
        <f t="shared" si="2"/>
        <v>2.6964973918712554E-2</v>
      </c>
      <c r="P4" s="151">
        <f>((I4/E4)^(1/4)-1)</f>
        <v>3.3136886275380695E-2</v>
      </c>
    </row>
    <row r="5" spans="1:17" x14ac:dyDescent="0.2">
      <c r="A5" s="101" t="s">
        <v>81</v>
      </c>
      <c r="B5" s="102"/>
      <c r="C5" s="102"/>
      <c r="D5" s="102"/>
      <c r="E5" s="143"/>
      <c r="F5" s="143"/>
      <c r="G5" s="143"/>
      <c r="H5" s="143"/>
      <c r="I5" s="143"/>
      <c r="J5" s="103"/>
      <c r="K5" s="103"/>
      <c r="L5" s="103"/>
      <c r="M5" s="103"/>
      <c r="N5" s="103"/>
      <c r="O5" s="103"/>
    </row>
    <row r="6" spans="1:17" x14ac:dyDescent="0.2">
      <c r="A6" s="79" t="s">
        <v>82</v>
      </c>
      <c r="B6" s="374">
        <f>[4]Maladie!$G$10</f>
        <v>5090.9179437599996</v>
      </c>
      <c r="C6" s="374">
        <f>[4]Maladie!$H$10</f>
        <v>4816.3181431499997</v>
      </c>
      <c r="D6" s="374">
        <f>[4]Maladie!$I$10</f>
        <v>5028.3106068300012</v>
      </c>
      <c r="E6" s="374">
        <f>[4]Maladie!$R$10</f>
        <v>5006.9183053414354</v>
      </c>
      <c r="F6" s="374">
        <f>[4]Maladie!$W$10</f>
        <v>5160.1935131845348</v>
      </c>
      <c r="G6" s="374">
        <f>[4]Maladie!$AB$10</f>
        <v>5265.8427525041006</v>
      </c>
      <c r="H6" s="374">
        <f>[4]Maladie!$AG$10</f>
        <v>5400.2291665831508</v>
      </c>
      <c r="I6" s="374">
        <f>[4]Maladie!$AL$10</f>
        <v>5521.8060313409705</v>
      </c>
      <c r="J6" s="104">
        <f t="shared" ref="J6:K10" si="5">D6/C6-1</f>
        <v>4.4015461059504046E-2</v>
      </c>
      <c r="K6" s="104">
        <f t="shared" si="5"/>
        <v>-4.2543715297754803E-3</v>
      </c>
      <c r="L6" s="104">
        <f t="shared" ref="L6:O10" si="6">F6/E6-1</f>
        <v>3.0612683989587719E-2</v>
      </c>
      <c r="M6" s="104">
        <f t="shared" si="6"/>
        <v>2.047389095963692E-2</v>
      </c>
      <c r="N6" s="104">
        <f t="shared" si="6"/>
        <v>2.552040013256085E-2</v>
      </c>
      <c r="O6" s="104">
        <f t="shared" si="6"/>
        <v>2.2513278790119218E-2</v>
      </c>
      <c r="P6" s="151">
        <f>((I6/E6)^(1/4)-1)</f>
        <v>2.4772966860456158E-2</v>
      </c>
    </row>
    <row r="7" spans="1:17" x14ac:dyDescent="0.2">
      <c r="A7" s="79" t="s">
        <v>83</v>
      </c>
      <c r="B7" s="374">
        <f>[4]AT!$G$10</f>
        <v>551.07181614000001</v>
      </c>
      <c r="C7" s="374">
        <f>[4]AT!$H$10</f>
        <v>572.89877344000001</v>
      </c>
      <c r="D7" s="374">
        <f>[4]AT!$I$10</f>
        <v>593.00804479999999</v>
      </c>
      <c r="E7" s="374">
        <f>[4]AT!$R$10</f>
        <v>610.62865056862461</v>
      </c>
      <c r="F7" s="374">
        <f>[4]AT!$W$10</f>
        <v>630.76275275251385</v>
      </c>
      <c r="G7" s="374">
        <f>[4]AT!$AB$10</f>
        <v>652.45714843704798</v>
      </c>
      <c r="H7" s="374">
        <f>[4]AT!$AG$10</f>
        <v>675.71493869885376</v>
      </c>
      <c r="I7" s="374">
        <f>[4]AT!$AL$10</f>
        <v>701.12294742119911</v>
      </c>
      <c r="J7" s="104">
        <f t="shared" si="5"/>
        <v>3.510091536634441E-2</v>
      </c>
      <c r="K7" s="104">
        <f t="shared" si="5"/>
        <v>2.9713940515878612E-2</v>
      </c>
      <c r="L7" s="104">
        <f t="shared" si="6"/>
        <v>3.2972744015761668E-2</v>
      </c>
      <c r="M7" s="104">
        <f t="shared" si="6"/>
        <v>3.4393907360357634E-2</v>
      </c>
      <c r="N7" s="104">
        <f t="shared" si="6"/>
        <v>3.564646401303051E-2</v>
      </c>
      <c r="O7" s="104">
        <f t="shared" si="6"/>
        <v>3.7601667903436553E-2</v>
      </c>
      <c r="P7" s="151">
        <f>((I7/E7)^(1/4)-1)</f>
        <v>3.5152299089067141E-2</v>
      </c>
    </row>
    <row r="8" spans="1:17" x14ac:dyDescent="0.2">
      <c r="A8" s="79" t="s">
        <v>84</v>
      </c>
      <c r="B8" s="374">
        <f>[4]Famille!$G$10</f>
        <v>713.82187131000001</v>
      </c>
      <c r="C8" s="374">
        <f>[4]Famille!$H$10</f>
        <v>688.32126192999999</v>
      </c>
      <c r="D8" s="374">
        <f>[4]Famille!$I$10</f>
        <v>771.56760064000002</v>
      </c>
      <c r="E8" s="534">
        <f>[4]Famille!$R$10</f>
        <v>772.44554976732979</v>
      </c>
      <c r="F8" s="374">
        <f>[4]Famille!$W$10</f>
        <v>758.25077616096019</v>
      </c>
      <c r="G8" s="374">
        <f>[4]Famille!$AB$10</f>
        <v>772.22755553242428</v>
      </c>
      <c r="H8" s="374">
        <f>[4]Famille!$AG$10</f>
        <v>785.40364681704477</v>
      </c>
      <c r="I8" s="374">
        <f>[4]Famille!$AL$10</f>
        <v>797.74773963515293</v>
      </c>
      <c r="J8" s="104">
        <f t="shared" si="5"/>
        <v>0.12094111182412659</v>
      </c>
      <c r="K8" s="104">
        <f t="shared" si="5"/>
        <v>1.1378771304051405E-3</v>
      </c>
      <c r="L8" s="104">
        <f t="shared" si="6"/>
        <v>-1.8376406739148421E-2</v>
      </c>
      <c r="M8" s="104">
        <f t="shared" si="6"/>
        <v>1.8432924582324706E-2</v>
      </c>
      <c r="N8" s="104">
        <f t="shared" si="6"/>
        <v>1.7062446412619892E-2</v>
      </c>
      <c r="O8" s="104">
        <f t="shared" si="6"/>
        <v>1.5716877389268857E-2</v>
      </c>
      <c r="P8" s="151">
        <f>((I8/E8)^(1/4)-1)</f>
        <v>8.0902786534462479E-3</v>
      </c>
    </row>
    <row r="9" spans="1:17" x14ac:dyDescent="0.2">
      <c r="A9" s="79" t="s">
        <v>85</v>
      </c>
      <c r="B9" s="374">
        <f>[4]Vieillesse!$G$10</f>
        <v>6105.1522090100025</v>
      </c>
      <c r="C9" s="374">
        <f>[4]Vieillesse!$H$10</f>
        <v>6213.4170283700005</v>
      </c>
      <c r="D9" s="374">
        <f>[4]Vieillesse!$I$10</f>
        <v>6499.3807921200005</v>
      </c>
      <c r="E9" s="374">
        <v>6723.6242346497584</v>
      </c>
      <c r="F9" s="374">
        <v>7175.5268792288289</v>
      </c>
      <c r="G9" s="374">
        <v>7472.5688793031704</v>
      </c>
      <c r="H9" s="374">
        <v>7712.3725952714285</v>
      </c>
      <c r="I9" s="374">
        <v>7960.1096536249661</v>
      </c>
      <c r="J9" s="104">
        <f t="shared" si="5"/>
        <v>4.6023590955557969E-2</v>
      </c>
      <c r="K9" s="104">
        <f t="shared" si="5"/>
        <v>3.4502277940328785E-2</v>
      </c>
      <c r="L9" s="104">
        <f t="shared" si="6"/>
        <v>6.7211168977918234E-2</v>
      </c>
      <c r="M9" s="104">
        <f t="shared" si="6"/>
        <v>4.1396542034313422E-2</v>
      </c>
      <c r="N9" s="104">
        <f t="shared" si="6"/>
        <v>3.2091201813133408E-2</v>
      </c>
      <c r="O9" s="104">
        <f t="shared" si="6"/>
        <v>3.2122029283884634E-2</v>
      </c>
      <c r="P9" s="151">
        <f>((I9/E9)^(1/4)-1)</f>
        <v>4.3107106340342982E-2</v>
      </c>
    </row>
    <row r="10" spans="1:17" x14ac:dyDescent="0.2">
      <c r="A10" s="79" t="s">
        <v>243</v>
      </c>
      <c r="B10" s="208">
        <f>[4]SASPA!$G$10</f>
        <v>644.14725565000003</v>
      </c>
      <c r="C10" s="208">
        <f>[4]SASPA!$H$10</f>
        <v>646.33154295999998</v>
      </c>
      <c r="D10" s="208">
        <f>[4]SASPA!$I$10</f>
        <v>655.85460454999998</v>
      </c>
      <c r="E10" s="374">
        <f>[4]SASPA!$R$10</f>
        <v>668.5010214901198</v>
      </c>
      <c r="F10" s="374">
        <f>[4]SASPA!$W$10</f>
        <v>696.21118268926136</v>
      </c>
      <c r="G10" s="374">
        <f>[4]SASPA!$AB$10</f>
        <v>708.19961130232105</v>
      </c>
      <c r="H10" s="374">
        <f>[4]SASPA!$AG$10</f>
        <v>715.72725352380417</v>
      </c>
      <c r="I10" s="374">
        <f>[4]SASPA!$AL$10</f>
        <v>720.94078466163</v>
      </c>
      <c r="J10" s="104">
        <f t="shared" si="5"/>
        <v>1.4734019550380228E-2</v>
      </c>
      <c r="K10" s="104">
        <f t="shared" ref="K10" si="7">E10/D10-1</f>
        <v>1.9282348332061883E-2</v>
      </c>
      <c r="L10" s="104">
        <f t="shared" si="6"/>
        <v>4.1451187520064492E-2</v>
      </c>
      <c r="M10" s="104">
        <f t="shared" si="6"/>
        <v>1.7219528946305962E-2</v>
      </c>
      <c r="N10" s="104">
        <f t="shared" si="6"/>
        <v>1.0629266242663471E-2</v>
      </c>
      <c r="O10" s="104">
        <f t="shared" si="6"/>
        <v>7.2842428622881261E-3</v>
      </c>
      <c r="P10" s="413">
        <f>D11/$D$49</f>
        <v>2.792768764456012E-2</v>
      </c>
      <c r="Q10" s="413">
        <f>I11/I49</f>
        <v>1.6238960109381397E-2</v>
      </c>
    </row>
    <row r="11" spans="1:17" x14ac:dyDescent="0.2">
      <c r="A11" s="98" t="s">
        <v>227</v>
      </c>
      <c r="B11" s="105">
        <f t="shared" ref="B11:I11" si="8">SUM(B12:B16)</f>
        <v>1308.8877756700003</v>
      </c>
      <c r="C11" s="105">
        <f t="shared" si="8"/>
        <v>592.9086423</v>
      </c>
      <c r="D11" s="105">
        <f t="shared" si="8"/>
        <v>431.83460754999999</v>
      </c>
      <c r="E11" s="397">
        <f t="shared" si="8"/>
        <v>423.0205651761554</v>
      </c>
      <c r="F11" s="397">
        <f t="shared" si="8"/>
        <v>258.80747120497421</v>
      </c>
      <c r="G11" s="397">
        <f t="shared" si="8"/>
        <v>267.51165922744582</v>
      </c>
      <c r="H11" s="397">
        <f t="shared" si="8"/>
        <v>275.862713037947</v>
      </c>
      <c r="I11" s="397">
        <f t="shared" si="8"/>
        <v>284.59836436677904</v>
      </c>
      <c r="J11" s="100">
        <f t="shared" ref="J11:J21" si="9">D11/C11-1</f>
        <v>-0.27166754413490191</v>
      </c>
      <c r="K11" s="100">
        <f t="shared" ref="K11:O15" si="10">E11/D11-1</f>
        <v>-2.0410690157166345E-2</v>
      </c>
      <c r="L11" s="100">
        <f t="shared" si="10"/>
        <v>-0.38819175115706051</v>
      </c>
      <c r="M11" s="100">
        <f t="shared" si="10"/>
        <v>3.3631903986179434E-2</v>
      </c>
      <c r="N11" s="100">
        <f t="shared" si="10"/>
        <v>3.121753210539846E-2</v>
      </c>
      <c r="O11" s="100">
        <f t="shared" si="10"/>
        <v>3.1666662132878942E-2</v>
      </c>
      <c r="P11" s="151">
        <f>((I11/E11)^(1/4)-1)</f>
        <v>-9.4334697243088628E-2</v>
      </c>
      <c r="Q11" s="151">
        <f>(K11+L11+M11+N11+O11)/5</f>
        <v>-6.2417268617954005E-2</v>
      </c>
    </row>
    <row r="12" spans="1:17" x14ac:dyDescent="0.2">
      <c r="A12" s="79" t="s">
        <v>82</v>
      </c>
      <c r="B12" s="374">
        <f>[4]Maladie!$G$69</f>
        <v>1032.1486344100001</v>
      </c>
      <c r="C12" s="374">
        <f>[4]Maladie!$H$69</f>
        <v>311.22717200999995</v>
      </c>
      <c r="D12" s="374">
        <f>[4]Maladie!$I$69</f>
        <v>315.41880156000002</v>
      </c>
      <c r="E12" s="374">
        <f>[4]Maladie!$R$69</f>
        <v>237.88825955663171</v>
      </c>
      <c r="F12" s="374">
        <f>[4]Maladie!$W$69</f>
        <v>243.62458251892238</v>
      </c>
      <c r="G12" s="374">
        <f>[4]Maladie!$AB$69</f>
        <v>251.68775736140702</v>
      </c>
      <c r="H12" s="374">
        <f>[4]Maladie!$AG$69</f>
        <v>259.39774194786372</v>
      </c>
      <c r="I12" s="374">
        <f>[4]Maladie!$AL$69</f>
        <v>267.49226854747968</v>
      </c>
      <c r="J12" s="104">
        <f t="shared" si="9"/>
        <v>1.3468070679462985E-2</v>
      </c>
      <c r="K12" s="104">
        <f t="shared" si="10"/>
        <v>-0.2458019040714039</v>
      </c>
      <c r="L12" s="104">
        <f t="shared" si="10"/>
        <v>2.4113518561116987E-2</v>
      </c>
      <c r="M12" s="104">
        <f t="shared" si="10"/>
        <v>3.3096721025097642E-2</v>
      </c>
      <c r="N12" s="104">
        <f t="shared" si="10"/>
        <v>3.0633133161839465E-2</v>
      </c>
      <c r="O12" s="104">
        <f t="shared" si="10"/>
        <v>3.1205077341200926E-2</v>
      </c>
    </row>
    <row r="13" spans="1:17" x14ac:dyDescent="0.2">
      <c r="A13" s="79" t="s">
        <v>83</v>
      </c>
      <c r="B13" s="374">
        <f>[4]AT!$G$37</f>
        <v>6.8692879799999993</v>
      </c>
      <c r="C13" s="374">
        <f>[4]AT!$H$37</f>
        <v>7.2619859500000006</v>
      </c>
      <c r="D13" s="374">
        <f>[4]AT!$I$37</f>
        <v>7.8779610400000006</v>
      </c>
      <c r="E13" s="374">
        <f>[4]AT!$R$37</f>
        <v>8.5248028019312212</v>
      </c>
      <c r="F13" s="374">
        <f>[4]AT!$W$37</f>
        <v>9.1716445638624453</v>
      </c>
      <c r="G13" s="374">
        <f>[4]AT!$AB$37</f>
        <v>9.8184863257936676</v>
      </c>
      <c r="H13" s="374">
        <f>[4]AT!$AG$37</f>
        <v>10.465328087724892</v>
      </c>
      <c r="I13" s="374">
        <f>[4]AT!$AL$37</f>
        <v>11.112169849656112</v>
      </c>
      <c r="J13" s="104">
        <f t="shared" si="9"/>
        <v>8.482185097039463E-2</v>
      </c>
      <c r="K13" s="104">
        <f t="shared" si="10"/>
        <v>8.2107763499579489E-2</v>
      </c>
      <c r="L13" s="104">
        <f t="shared" si="10"/>
        <v>7.5877621683481999E-2</v>
      </c>
      <c r="M13" s="104">
        <f t="shared" si="10"/>
        <v>7.0526257033538764E-2</v>
      </c>
      <c r="N13" s="104">
        <f t="shared" si="10"/>
        <v>6.58799880621046E-2</v>
      </c>
      <c r="O13" s="104">
        <f t="shared" si="10"/>
        <v>6.1808072953768223E-2</v>
      </c>
    </row>
    <row r="14" spans="1:17" x14ac:dyDescent="0.2">
      <c r="A14" s="79" t="s">
        <v>84</v>
      </c>
      <c r="B14" s="374">
        <f>[4]Famille!$G$52</f>
        <v>0.61399999999999999</v>
      </c>
      <c r="C14" s="374">
        <f>[4]Famille!$H$52</f>
        <v>0.624</v>
      </c>
      <c r="D14" s="374">
        <f>[4]Famille!$I$52</f>
        <v>0.61799999999999999</v>
      </c>
      <c r="E14" s="374">
        <f>[4]Famille!$R$52</f>
        <v>0.61205769230769236</v>
      </c>
      <c r="F14" s="374">
        <f>[4]Famille!$W$52</f>
        <v>0.60617252218934914</v>
      </c>
      <c r="G14" s="374">
        <f>[4]Famille!$AB$52</f>
        <v>0.60034394024522075</v>
      </c>
      <c r="H14" s="374">
        <f>[4]Famille!$AG$52</f>
        <v>0.59457140235824746</v>
      </c>
      <c r="I14" s="374">
        <f>[4]Famille!$AL$52</f>
        <v>0.58885436964326432</v>
      </c>
      <c r="J14" s="104">
        <f t="shared" si="9"/>
        <v>-9.6153846153845812E-3</v>
      </c>
      <c r="K14" s="104">
        <f t="shared" si="10"/>
        <v>-9.6153846153844702E-3</v>
      </c>
      <c r="L14" s="104">
        <f t="shared" si="10"/>
        <v>-9.6153846153846922E-3</v>
      </c>
      <c r="M14" s="104">
        <f t="shared" si="10"/>
        <v>-9.6153846153846922E-3</v>
      </c>
      <c r="N14" s="104">
        <f t="shared" si="10"/>
        <v>-9.6153846153846922E-3</v>
      </c>
      <c r="O14" s="104">
        <f t="shared" si="10"/>
        <v>-9.6153846153845812E-3</v>
      </c>
    </row>
    <row r="15" spans="1:17" x14ac:dyDescent="0.2">
      <c r="A15" s="79" t="s">
        <v>85</v>
      </c>
      <c r="B15" s="374">
        <f>[4]Vieillesse!$G$53</f>
        <v>269.25585328</v>
      </c>
      <c r="C15" s="374">
        <f>[4]Vieillesse!$H$53</f>
        <v>273.79548434000003</v>
      </c>
      <c r="D15" s="374">
        <f>[4]Vieillesse!$I$53</f>
        <v>107.91984495</v>
      </c>
      <c r="E15" s="374">
        <v>175.99544512528479</v>
      </c>
      <c r="F15" s="374">
        <v>2.34491E-3</v>
      </c>
      <c r="G15" s="374">
        <v>2.34491E-3</v>
      </c>
      <c r="H15" s="374">
        <v>2.34491E-3</v>
      </c>
      <c r="I15" s="374">
        <v>2.34491E-3</v>
      </c>
      <c r="J15" s="104">
        <f t="shared" si="9"/>
        <v>-0.60583774706822835</v>
      </c>
      <c r="K15" s="104">
        <f>E15/D15-1</f>
        <v>0.63079779448186457</v>
      </c>
      <c r="L15" s="104">
        <f t="shared" si="10"/>
        <v>-0.99998667630291038</v>
      </c>
      <c r="M15" s="104">
        <f t="shared" si="10"/>
        <v>0</v>
      </c>
      <c r="N15" s="104">
        <f t="shared" si="10"/>
        <v>0</v>
      </c>
      <c r="O15" s="104">
        <f t="shared" si="10"/>
        <v>0</v>
      </c>
    </row>
    <row r="16" spans="1:17" x14ac:dyDescent="0.2">
      <c r="A16" s="79" t="s">
        <v>276</v>
      </c>
      <c r="B16" s="374">
        <f>[4]SASPA!$G$53</f>
        <v>0</v>
      </c>
      <c r="C16" s="374">
        <f>[4]SASPA!$H$53</f>
        <v>0</v>
      </c>
      <c r="D16" s="374">
        <f>[4]SASPA!$I$53</f>
        <v>0</v>
      </c>
      <c r="E16" s="374">
        <f>[4]SASPA!$R$53</f>
        <v>0</v>
      </c>
      <c r="F16" s="374">
        <f>[4]SASPA!$W$53</f>
        <v>5.4027266899999944</v>
      </c>
      <c r="G16" s="374">
        <f>[4]SASPA!$AB$53</f>
        <v>5.4027266899998949</v>
      </c>
      <c r="H16" s="374">
        <f>[4]SASPA!$AG$53</f>
        <v>5.4027266900001294</v>
      </c>
      <c r="I16" s="374">
        <f>[4]SASPA!$AL$53</f>
        <v>5.4027266899999233</v>
      </c>
      <c r="J16" s="104" t="e">
        <f t="shared" si="9"/>
        <v>#DIV/0!</v>
      </c>
      <c r="K16" s="447" t="e">
        <f>E16/D16-1</f>
        <v>#DIV/0!</v>
      </c>
      <c r="L16" s="104" t="e">
        <f t="shared" ref="L16" si="11">F16/E16-1</f>
        <v>#DIV/0!</v>
      </c>
      <c r="M16" s="104">
        <f t="shared" ref="M16" si="12">G16/F16-1</f>
        <v>-1.8429702208777599E-14</v>
      </c>
      <c r="N16" s="104">
        <f t="shared" ref="N16" si="13">H16/G16-1</f>
        <v>4.3298697960381105E-14</v>
      </c>
      <c r="O16" s="104">
        <f>I16/H16-1</f>
        <v>-3.8191672047105385E-14</v>
      </c>
    </row>
    <row r="17" spans="1:16" x14ac:dyDescent="0.2">
      <c r="A17" s="98" t="s">
        <v>86</v>
      </c>
      <c r="B17" s="105">
        <f t="shared" ref="B17:I17" si="14">SUM(B18:B21)</f>
        <v>35.632882940000002</v>
      </c>
      <c r="C17" s="105">
        <f t="shared" si="14"/>
        <v>35.739281140000003</v>
      </c>
      <c r="D17" s="105">
        <f t="shared" si="14"/>
        <v>35.39294658</v>
      </c>
      <c r="E17" s="144">
        <f t="shared" si="14"/>
        <v>37.119230396090558</v>
      </c>
      <c r="F17" s="144">
        <f t="shared" si="14"/>
        <v>39.046279494826358</v>
      </c>
      <c r="G17" s="144">
        <f t="shared" si="14"/>
        <v>40.839882042755384</v>
      </c>
      <c r="H17" s="144">
        <f t="shared" si="14"/>
        <v>43.773312229395273</v>
      </c>
      <c r="I17" s="144">
        <f t="shared" si="14"/>
        <v>48.592739600087143</v>
      </c>
      <c r="J17" s="100">
        <f t="shared" si="9"/>
        <v>-9.6905855113122996E-3</v>
      </c>
      <c r="K17" s="100">
        <f t="shared" ref="K17:O21" si="15">E17/D17-1</f>
        <v>4.8774797887725319E-2</v>
      </c>
      <c r="L17" s="100">
        <f t="shared" si="15"/>
        <v>5.1915114569260012E-2</v>
      </c>
      <c r="M17" s="100">
        <f t="shared" si="15"/>
        <v>4.5935299627373638E-2</v>
      </c>
      <c r="N17" s="100">
        <f t="shared" si="15"/>
        <v>7.1827587150444572E-2</v>
      </c>
      <c r="O17" s="100">
        <f t="shared" si="15"/>
        <v>0.1100996731852395</v>
      </c>
    </row>
    <row r="18" spans="1:16" x14ac:dyDescent="0.2">
      <c r="A18" s="79" t="s">
        <v>82</v>
      </c>
      <c r="B18" s="374">
        <f>[4]Maladie!$G$89</f>
        <v>12.08966317</v>
      </c>
      <c r="C18" s="374">
        <f>[4]Maladie!$H$89</f>
        <v>12.33898093</v>
      </c>
      <c r="D18" s="374">
        <f>[4]Maladie!$I$89</f>
        <v>11.770554090000001</v>
      </c>
      <c r="E18" s="374">
        <f>[4]Maladie!$R$89</f>
        <v>12.436497946797237</v>
      </c>
      <c r="F18" s="374">
        <f>[4]Maladie!$W$89</f>
        <v>13.644846411285464</v>
      </c>
      <c r="G18" s="374">
        <f>[4]Maladie!$AB$89</f>
        <v>15.048867414666772</v>
      </c>
      <c r="H18" s="374">
        <f>[4]Maladie!$AG$89</f>
        <v>17.578362123800417</v>
      </c>
      <c r="I18" s="374">
        <f>[4]Maladie!$AL$89</f>
        <v>21.988797106128594</v>
      </c>
      <c r="J18" s="104">
        <f t="shared" si="9"/>
        <v>-4.6067567753344307E-2</v>
      </c>
      <c r="K18" s="104">
        <f t="shared" si="15"/>
        <v>5.657710348258016E-2</v>
      </c>
      <c r="L18" s="104">
        <f t="shared" si="15"/>
        <v>9.7161473403323484E-2</v>
      </c>
      <c r="M18" s="104">
        <f t="shared" si="15"/>
        <v>0.10289753076444019</v>
      </c>
      <c r="N18" s="104">
        <f t="shared" si="15"/>
        <v>0.16808538738725121</v>
      </c>
      <c r="O18" s="104">
        <f t="shared" si="15"/>
        <v>0.25090136107485339</v>
      </c>
    </row>
    <row r="19" spans="1:16" x14ac:dyDescent="0.2">
      <c r="A19" s="79" t="s">
        <v>83</v>
      </c>
      <c r="B19" s="374">
        <f>[4]AT!$G$43</f>
        <v>3.1759518799999999</v>
      </c>
      <c r="C19" s="374">
        <f>[4]AT!$H$43</f>
        <v>4.03883817</v>
      </c>
      <c r="D19" s="374">
        <f>[4]AT!$I$43</f>
        <v>4.1528955300000003</v>
      </c>
      <c r="E19" s="374">
        <f>[4]AT!$R$43</f>
        <v>4.3189642181779515</v>
      </c>
      <c r="F19" s="374">
        <f>[4]AT!$W$43</f>
        <v>4.455921580938579</v>
      </c>
      <c r="G19" s="374">
        <f>[4]AT!$AB$43</f>
        <v>4.5648910343697446</v>
      </c>
      <c r="H19" s="374">
        <f>[4]AT!$AG$43</f>
        <v>4.671643606441128</v>
      </c>
      <c r="I19" s="374">
        <f>[4]AT!$AL$43</f>
        <v>4.7837406166009124</v>
      </c>
      <c r="J19" s="104">
        <f t="shared" si="9"/>
        <v>2.8240141149304954E-2</v>
      </c>
      <c r="K19" s="104">
        <f t="shared" si="15"/>
        <v>3.9988650563996142E-2</v>
      </c>
      <c r="L19" s="104">
        <f t="shared" si="15"/>
        <v>3.1710696324871668E-2</v>
      </c>
      <c r="M19" s="104">
        <f t="shared" si="15"/>
        <v>2.4454975576166271E-2</v>
      </c>
      <c r="N19" s="104">
        <f t="shared" si="15"/>
        <v>2.3385568520174482E-2</v>
      </c>
      <c r="O19" s="104">
        <f t="shared" si="15"/>
        <v>2.3995197323106732E-2</v>
      </c>
    </row>
    <row r="20" spans="1:16" x14ac:dyDescent="0.2">
      <c r="A20" s="79" t="s">
        <v>84</v>
      </c>
      <c r="B20" s="374">
        <f>[4]Famille!$G$56</f>
        <v>5.8455808700000009</v>
      </c>
      <c r="C20" s="374">
        <f>[4]Famille!$H$56</f>
        <v>6.11649434</v>
      </c>
      <c r="D20" s="374">
        <f>[4]Famille!$I$56</f>
        <v>6.51325033</v>
      </c>
      <c r="E20" s="374">
        <f>[4]Famille!$R$56</f>
        <v>6.7671574241075252</v>
      </c>
      <c r="F20" s="374">
        <f>[4]Famille!$W$56</f>
        <v>6.9204885789656556</v>
      </c>
      <c r="G20" s="374">
        <f>[4]Famille!$AB$56</f>
        <v>6.9826154215987506</v>
      </c>
      <c r="H20" s="374">
        <f>[4]Famille!$AG$56</f>
        <v>7.051223574050951</v>
      </c>
      <c r="I20" s="374">
        <f>[4]Famille!$AL$56</f>
        <v>7.1182961187019638</v>
      </c>
      <c r="J20" s="104">
        <f t="shared" si="9"/>
        <v>6.4866567014594922E-2</v>
      </c>
      <c r="K20" s="104">
        <f t="shared" si="15"/>
        <v>3.8983162206744915E-2</v>
      </c>
      <c r="L20" s="104">
        <f t="shared" si="15"/>
        <v>2.265813328235855E-2</v>
      </c>
      <c r="M20" s="104">
        <f t="shared" si="15"/>
        <v>8.977233604853474E-3</v>
      </c>
      <c r="N20" s="104">
        <f t="shared" si="15"/>
        <v>9.8255665405801995E-3</v>
      </c>
      <c r="O20" s="104">
        <f t="shared" si="15"/>
        <v>9.5121852181576649E-3</v>
      </c>
    </row>
    <row r="21" spans="1:16" x14ac:dyDescent="0.2">
      <c r="A21" s="79" t="s">
        <v>85</v>
      </c>
      <c r="B21" s="374">
        <f>[4]Vieillesse!$G$59</f>
        <v>14.52168702</v>
      </c>
      <c r="C21" s="374">
        <f>[4]Vieillesse!$H$59</f>
        <v>13.2449677</v>
      </c>
      <c r="D21" s="374">
        <f>[4]Vieillesse!$I$59</f>
        <v>12.956246630000001</v>
      </c>
      <c r="E21" s="374">
        <v>13.596610807007842</v>
      </c>
      <c r="F21" s="374">
        <v>14.025022923636657</v>
      </c>
      <c r="G21" s="374">
        <v>14.243508172120114</v>
      </c>
      <c r="H21" s="374">
        <v>14.472082925102777</v>
      </c>
      <c r="I21" s="374">
        <v>14.701905758655672</v>
      </c>
      <c r="J21" s="104">
        <f t="shared" si="9"/>
        <v>-2.1798548440401189E-2</v>
      </c>
      <c r="K21" s="104">
        <f t="shared" si="15"/>
        <v>4.9425130232168213E-2</v>
      </c>
      <c r="L21" s="104">
        <f t="shared" si="15"/>
        <v>3.1508743076473555E-2</v>
      </c>
      <c r="M21" s="104">
        <f t="shared" si="15"/>
        <v>1.5578245374219035E-2</v>
      </c>
      <c r="N21" s="104">
        <f t="shared" si="15"/>
        <v>1.604764431771577E-2</v>
      </c>
      <c r="O21" s="104">
        <f t="shared" si="15"/>
        <v>1.5880425419222188E-2</v>
      </c>
    </row>
    <row r="22" spans="1:16" x14ac:dyDescent="0.2">
      <c r="A22" s="79"/>
      <c r="B22" s="107"/>
      <c r="C22" s="107"/>
      <c r="D22" s="107"/>
      <c r="E22" s="146"/>
      <c r="F22" s="146"/>
      <c r="G22" s="146"/>
      <c r="H22" s="146"/>
      <c r="I22" s="146"/>
      <c r="J22" s="104"/>
      <c r="K22" s="104"/>
      <c r="L22" s="104"/>
      <c r="M22" s="104"/>
      <c r="N22" s="104"/>
      <c r="O22" s="104"/>
      <c r="P22" s="413">
        <f>D23/D49</f>
        <v>3.021662683476246E-2</v>
      </c>
    </row>
    <row r="23" spans="1:16" x14ac:dyDescent="0.2">
      <c r="A23" s="98" t="s">
        <v>87</v>
      </c>
      <c r="B23" s="105">
        <f t="shared" ref="B23:I23" si="16">B17+B11</f>
        <v>1344.5206586100003</v>
      </c>
      <c r="C23" s="105">
        <f t="shared" si="16"/>
        <v>628.64792344</v>
      </c>
      <c r="D23" s="105">
        <f t="shared" si="16"/>
        <v>467.22755412999999</v>
      </c>
      <c r="E23" s="144">
        <f t="shared" si="16"/>
        <v>460.13979557224593</v>
      </c>
      <c r="F23" s="144">
        <f>F17+F11</f>
        <v>297.85375069980057</v>
      </c>
      <c r="G23" s="144">
        <f t="shared" si="16"/>
        <v>308.35154127020121</v>
      </c>
      <c r="H23" s="144">
        <f t="shared" si="16"/>
        <v>319.63602526734229</v>
      </c>
      <c r="I23" s="144">
        <f t="shared" si="16"/>
        <v>333.19110396686619</v>
      </c>
      <c r="J23" s="100">
        <f t="shared" ref="J23:O23" si="17">D23/C23-1</f>
        <v>-0.25677388454048788</v>
      </c>
      <c r="K23" s="100">
        <f>E23/D23-1</f>
        <v>-1.5169821418070661E-2</v>
      </c>
      <c r="L23" s="100">
        <f t="shared" si="17"/>
        <v>-0.35268856646189617</v>
      </c>
      <c r="M23" s="100">
        <f t="shared" si="17"/>
        <v>3.5244782198432301E-2</v>
      </c>
      <c r="N23" s="100">
        <f t="shared" si="17"/>
        <v>3.6596165372342782E-2</v>
      </c>
      <c r="O23" s="100">
        <f t="shared" si="17"/>
        <v>4.2407856524265375E-2</v>
      </c>
      <c r="P23" s="151">
        <f>((I23/E23)^(1/4)-1)</f>
        <v>-7.7532868851548087E-2</v>
      </c>
    </row>
    <row r="24" spans="1:16" x14ac:dyDescent="0.2">
      <c r="A24" s="79"/>
      <c r="B24" s="107"/>
      <c r="C24" s="107"/>
      <c r="D24" s="107"/>
      <c r="E24" s="146"/>
      <c r="F24" s="146"/>
      <c r="G24" s="146"/>
      <c r="H24" s="146"/>
      <c r="I24" s="146"/>
      <c r="J24" s="104"/>
      <c r="K24" s="104"/>
      <c r="L24" s="104"/>
      <c r="M24" s="104"/>
      <c r="N24" s="104"/>
      <c r="O24" s="104"/>
      <c r="P24" s="413">
        <f>D25/D49</f>
        <v>2.0558015262477642E-4</v>
      </c>
    </row>
    <row r="25" spans="1:16" x14ac:dyDescent="0.2">
      <c r="A25" s="98" t="s">
        <v>88</v>
      </c>
      <c r="B25" s="105">
        <f t="shared" ref="B25:I25" si="18">SUM(B26:B29)</f>
        <v>1.2555534400000001</v>
      </c>
      <c r="C25" s="105">
        <f t="shared" si="18"/>
        <v>1.8401278300000001</v>
      </c>
      <c r="D25" s="105">
        <f t="shared" si="18"/>
        <v>3.1788032599999996</v>
      </c>
      <c r="E25" s="144">
        <f t="shared" si="18"/>
        <v>3.2117322065203777</v>
      </c>
      <c r="F25" s="144">
        <f t="shared" si="18"/>
        <v>3.2488882856138424</v>
      </c>
      <c r="G25" s="144">
        <f t="shared" si="18"/>
        <v>3.2908174082025163</v>
      </c>
      <c r="H25" s="144">
        <f t="shared" si="18"/>
        <v>3.3381365148429869</v>
      </c>
      <c r="I25" s="144">
        <f t="shared" si="18"/>
        <v>3.3528851539786864</v>
      </c>
      <c r="J25" s="100">
        <f>D25/C25-1</f>
        <v>0.72749045374744381</v>
      </c>
      <c r="K25" s="100">
        <f t="shared" ref="K25:O26" si="19">E25/D25-1</f>
        <v>1.035891303332126E-2</v>
      </c>
      <c r="L25" s="100">
        <f t="shared" si="19"/>
        <v>1.1568859638431572E-2</v>
      </c>
      <c r="M25" s="100">
        <f t="shared" si="19"/>
        <v>1.2905683083760389E-2</v>
      </c>
      <c r="N25" s="100">
        <f t="shared" si="19"/>
        <v>1.4379134655883918E-2</v>
      </c>
      <c r="O25" s="100">
        <f t="shared" si="19"/>
        <v>4.4182252793196763E-3</v>
      </c>
      <c r="P25" s="151">
        <f>((I25/E25)^(1/4)-1)</f>
        <v>1.0810716875337967E-2</v>
      </c>
    </row>
    <row r="26" spans="1:16" x14ac:dyDescent="0.2">
      <c r="A26" s="79" t="s">
        <v>82</v>
      </c>
      <c r="B26" s="374">
        <f>[4]Maladie!$G$130</f>
        <v>0.33524759000000004</v>
      </c>
      <c r="C26" s="374">
        <f>[4]Maladie!$H$130</f>
        <v>0.39359049000000002</v>
      </c>
      <c r="D26" s="374">
        <f>[4]Maladie!$I$130</f>
        <v>0.44203855999999997</v>
      </c>
      <c r="E26" s="374">
        <f>[4]Maladie!$R$130</f>
        <v>0.46587389110329513</v>
      </c>
      <c r="F26" s="374">
        <f>[4]Maladie!$W$130</f>
        <v>0.49276899529816809</v>
      </c>
      <c r="G26" s="374">
        <f>[4]Maladie!$AB$130</f>
        <v>0.52311902545030908</v>
      </c>
      <c r="H26" s="374">
        <f>[4]Maladie!$AG$130</f>
        <v>0.55737054860759516</v>
      </c>
      <c r="I26" s="374">
        <f>[4]Maladie!$AL$130</f>
        <v>0.55737054860759516</v>
      </c>
      <c r="J26" s="104">
        <f>D26/C26-1</f>
        <v>0.1230925828517857</v>
      </c>
      <c r="K26" s="104">
        <f t="shared" si="19"/>
        <v>5.3921384377179971E-2</v>
      </c>
      <c r="L26" s="104">
        <f t="shared" si="19"/>
        <v>5.773043887730922E-2</v>
      </c>
      <c r="M26" s="104">
        <f t="shared" si="19"/>
        <v>6.1590786842781409E-2</v>
      </c>
      <c r="N26" s="104">
        <f t="shared" si="19"/>
        <v>6.5475582976172175E-2</v>
      </c>
      <c r="O26" s="104">
        <f t="shared" si="19"/>
        <v>0</v>
      </c>
    </row>
    <row r="27" spans="1:16" x14ac:dyDescent="0.2">
      <c r="A27" s="79" t="s">
        <v>83</v>
      </c>
      <c r="B27" s="374">
        <f>[4]AT!$G$74</f>
        <v>0.54995190999999999</v>
      </c>
      <c r="C27" s="374">
        <f>[4]AT!$H$74</f>
        <v>1.0485484300000001</v>
      </c>
      <c r="D27" s="374">
        <f>[4]AT!$I$74</f>
        <v>2.3008533399999997</v>
      </c>
      <c r="E27" s="374">
        <f>[4]AT!$R$74</f>
        <v>2.3008533399999997</v>
      </c>
      <c r="F27" s="374">
        <f>[4]AT!$W$74</f>
        <v>2.3008533399999997</v>
      </c>
      <c r="G27" s="374">
        <f>[4]AT!$AB$74</f>
        <v>2.3008533399999997</v>
      </c>
      <c r="H27" s="374">
        <f>[4]AT!$AG$74</f>
        <v>2.3008533399999997</v>
      </c>
      <c r="I27" s="374">
        <f>[4]AT!$AL$74</f>
        <v>2.3008533399999997</v>
      </c>
      <c r="J27" s="104">
        <f>D27/C27-1</f>
        <v>1.194322431058334</v>
      </c>
      <c r="K27" s="104">
        <f>E27/C27-1</f>
        <v>1.194322431058334</v>
      </c>
      <c r="L27" s="104">
        <f>F27/E27-1</f>
        <v>0</v>
      </c>
      <c r="M27" s="104">
        <f t="shared" ref="M27:O29" si="20">G27/F27-1</f>
        <v>0</v>
      </c>
      <c r="N27" s="104">
        <f t="shared" si="20"/>
        <v>0</v>
      </c>
      <c r="O27" s="104">
        <f t="shared" si="20"/>
        <v>0</v>
      </c>
    </row>
    <row r="28" spans="1:16" x14ac:dyDescent="0.2">
      <c r="A28" s="79" t="s">
        <v>84</v>
      </c>
      <c r="B28" s="374">
        <f>[4]Famille!$G$68</f>
        <v>0.22142157000000001</v>
      </c>
      <c r="C28" s="374">
        <f>[4]Famille!$H$68</f>
        <v>0.24857645</v>
      </c>
      <c r="D28" s="374">
        <f>[4]Famille!$I$68</f>
        <v>0.26726557000000001</v>
      </c>
      <c r="E28" s="374">
        <f>[4]Famille!$R$68</f>
        <v>0.26726557000000001</v>
      </c>
      <c r="F28" s="374">
        <f>[4]Famille!$W$68</f>
        <v>0.26726557000000001</v>
      </c>
      <c r="G28" s="374">
        <f>[4]Famille!$AB$68</f>
        <v>0.26726557000000001</v>
      </c>
      <c r="H28" s="374">
        <f>[4]Famille!$AG$68</f>
        <v>0.26726557000000001</v>
      </c>
      <c r="I28" s="374">
        <f>[4]Famille!$AL$68</f>
        <v>0.26726557000000001</v>
      </c>
      <c r="J28" s="104">
        <f>D28/C28-1</f>
        <v>7.5184596127267911E-2</v>
      </c>
      <c r="K28" s="104">
        <f>E28/D28-1</f>
        <v>0</v>
      </c>
      <c r="L28" s="104">
        <f>F28/E28-1</f>
        <v>0</v>
      </c>
      <c r="M28" s="104">
        <f t="shared" si="20"/>
        <v>0</v>
      </c>
      <c r="N28" s="104">
        <f t="shared" si="20"/>
        <v>0</v>
      </c>
      <c r="O28" s="104">
        <f t="shared" si="20"/>
        <v>0</v>
      </c>
    </row>
    <row r="29" spans="1:16" x14ac:dyDescent="0.2">
      <c r="A29" s="79" t="s">
        <v>85</v>
      </c>
      <c r="B29" s="374">
        <f>[4]Vieillesse!$G$83</f>
        <v>0.14893236999999998</v>
      </c>
      <c r="C29" s="374">
        <f>[4]Vieillesse!$H$83</f>
        <v>0.14941246</v>
      </c>
      <c r="D29" s="374">
        <f>[4]Vieillesse!$I$83</f>
        <v>0.16864579000000002</v>
      </c>
      <c r="E29" s="374">
        <f>[4]Vieillesse!$R$83</f>
        <v>0.1777394054170825</v>
      </c>
      <c r="F29" s="374">
        <f>[4]Vieillesse!$W$83</f>
        <v>0.18800038031567431</v>
      </c>
      <c r="G29" s="374">
        <f>[4]Vieillesse!$AB$83</f>
        <v>0.1995794727522075</v>
      </c>
      <c r="H29" s="374">
        <f>[4]Vieillesse!$AG$83</f>
        <v>0.21264705623539201</v>
      </c>
      <c r="I29" s="374">
        <f>[4]Vieillesse!$AL$83</f>
        <v>0.22739569537109133</v>
      </c>
      <c r="J29" s="104">
        <f>D29/C29-1</f>
        <v>0.12872641277708707</v>
      </c>
      <c r="K29" s="104">
        <f>E29/D29-1</f>
        <v>5.3921390015620796E-2</v>
      </c>
      <c r="L29" s="104">
        <f>F29/E29-1</f>
        <v>5.7730444605198716E-2</v>
      </c>
      <c r="M29" s="104">
        <f t="shared" si="20"/>
        <v>6.1590792620156209E-2</v>
      </c>
      <c r="N29" s="104">
        <f t="shared" si="20"/>
        <v>6.5475588761620074E-2</v>
      </c>
      <c r="O29" s="104">
        <f t="shared" si="20"/>
        <v>6.9357363308021336E-2</v>
      </c>
    </row>
    <row r="30" spans="1:16" x14ac:dyDescent="0.2">
      <c r="A30" s="101"/>
      <c r="B30" s="108"/>
      <c r="C30" s="108"/>
      <c r="D30" s="108"/>
      <c r="E30" s="147"/>
      <c r="F30" s="147"/>
      <c r="G30" s="147"/>
      <c r="H30" s="147"/>
      <c r="I30" s="147"/>
      <c r="J30" s="103"/>
      <c r="K30" s="103"/>
      <c r="L30" s="103"/>
      <c r="M30" s="103"/>
      <c r="N30" s="103"/>
      <c r="O30" s="103"/>
      <c r="P30" s="413">
        <f>D31/D49</f>
        <v>0</v>
      </c>
    </row>
    <row r="31" spans="1:16" x14ac:dyDescent="0.2">
      <c r="A31" s="98" t="s">
        <v>89</v>
      </c>
      <c r="B31" s="105">
        <f t="shared" ref="B31:I31" si="21">SUM(B32:B35)</f>
        <v>3.9295794599999994</v>
      </c>
      <c r="C31" s="105">
        <f t="shared" si="21"/>
        <v>2.4639541299999999</v>
      </c>
      <c r="D31" s="105">
        <f t="shared" si="21"/>
        <v>0</v>
      </c>
      <c r="E31" s="144">
        <f t="shared" si="21"/>
        <v>0</v>
      </c>
      <c r="F31" s="144">
        <f t="shared" si="21"/>
        <v>0</v>
      </c>
      <c r="G31" s="144">
        <f t="shared" si="21"/>
        <v>0</v>
      </c>
      <c r="H31" s="144">
        <f t="shared" si="21"/>
        <v>0</v>
      </c>
      <c r="I31" s="144">
        <f t="shared" si="21"/>
        <v>0</v>
      </c>
      <c r="J31" s="100">
        <f>D31/C31-1</f>
        <v>-1</v>
      </c>
      <c r="K31" s="100" t="e">
        <f t="shared" ref="K31:O35" si="22">E31/D31-1</f>
        <v>#DIV/0!</v>
      </c>
      <c r="L31" s="100" t="e">
        <f t="shared" si="22"/>
        <v>#DIV/0!</v>
      </c>
      <c r="M31" s="100" t="e">
        <f t="shared" si="22"/>
        <v>#DIV/0!</v>
      </c>
      <c r="N31" s="100" t="e">
        <f t="shared" si="22"/>
        <v>#DIV/0!</v>
      </c>
      <c r="O31" s="100" t="e">
        <f t="shared" si="22"/>
        <v>#DIV/0!</v>
      </c>
      <c r="P31" s="151" t="e">
        <f>((I31/E31)^(1/4)-1)</f>
        <v>#DIV/0!</v>
      </c>
    </row>
    <row r="32" spans="1:16" x14ac:dyDescent="0.2">
      <c r="A32" s="79" t="s">
        <v>82</v>
      </c>
      <c r="B32" s="374">
        <f>[4]Maladie!$G$143</f>
        <v>1.7763031099999997</v>
      </c>
      <c r="C32" s="374">
        <f>[4]Maladie!$H$143</f>
        <v>1.15363785</v>
      </c>
      <c r="D32" s="374">
        <f>[4]Maladie!$I$143</f>
        <v>0</v>
      </c>
      <c r="E32" s="374">
        <f>[4]Maladie!$R$143</f>
        <v>0</v>
      </c>
      <c r="F32" s="374">
        <f>[4]Maladie!$W$143</f>
        <v>0</v>
      </c>
      <c r="G32" s="374">
        <f>[4]Maladie!$AB$143</f>
        <v>0</v>
      </c>
      <c r="H32" s="374">
        <f>[4]Maladie!$AG$143</f>
        <v>0</v>
      </c>
      <c r="I32" s="374">
        <f>[4]Maladie!$AL$143</f>
        <v>0</v>
      </c>
      <c r="J32" s="104">
        <f>D32/C32-1</f>
        <v>-1</v>
      </c>
      <c r="K32" s="104" t="e">
        <f t="shared" si="22"/>
        <v>#DIV/0!</v>
      </c>
      <c r="L32" s="104" t="e">
        <f t="shared" si="22"/>
        <v>#DIV/0!</v>
      </c>
      <c r="M32" s="104" t="e">
        <f t="shared" si="22"/>
        <v>#DIV/0!</v>
      </c>
      <c r="N32" s="104" t="e">
        <f t="shared" si="22"/>
        <v>#DIV/0!</v>
      </c>
      <c r="O32" s="104" t="e">
        <f t="shared" si="22"/>
        <v>#DIV/0!</v>
      </c>
    </row>
    <row r="33" spans="1:16" x14ac:dyDescent="0.2">
      <c r="A33" s="79" t="s">
        <v>83</v>
      </c>
      <c r="B33" s="374">
        <f>[4]AT!$G$86</f>
        <v>0.20006372</v>
      </c>
      <c r="C33" s="374">
        <f>[4]AT!$H$86</f>
        <v>0.15138835</v>
      </c>
      <c r="D33" s="374">
        <f>[4]AT!$I$86</f>
        <v>0</v>
      </c>
      <c r="E33" s="374">
        <f>[4]AT!$R$86</f>
        <v>0</v>
      </c>
      <c r="F33" s="374">
        <f>[4]AT!$W$86</f>
        <v>0</v>
      </c>
      <c r="G33" s="374">
        <f>[4]AT!$AB$86</f>
        <v>0</v>
      </c>
      <c r="H33" s="374">
        <f>[4]AT!$AG$86</f>
        <v>0</v>
      </c>
      <c r="I33" s="374">
        <f>[4]AT!$AL$86</f>
        <v>0</v>
      </c>
      <c r="J33" s="104">
        <f>D33/C33-1</f>
        <v>-1</v>
      </c>
      <c r="K33" s="104" t="e">
        <f t="shared" si="22"/>
        <v>#DIV/0!</v>
      </c>
      <c r="L33" s="104" t="e">
        <f t="shared" si="22"/>
        <v>#DIV/0!</v>
      </c>
      <c r="M33" s="104" t="e">
        <f t="shared" si="22"/>
        <v>#DIV/0!</v>
      </c>
      <c r="N33" s="104" t="e">
        <f t="shared" si="22"/>
        <v>#DIV/0!</v>
      </c>
      <c r="O33" s="104" t="e">
        <f t="shared" si="22"/>
        <v>#DIV/0!</v>
      </c>
    </row>
    <row r="34" spans="1:16" x14ac:dyDescent="0.2">
      <c r="A34" s="79" t="s">
        <v>84</v>
      </c>
      <c r="B34" s="374">
        <f>[4]Famille!$G$79</f>
        <v>1.1677566599999998</v>
      </c>
      <c r="C34" s="374">
        <f>[4]Famille!$H$79</f>
        <v>0.72383306000000003</v>
      </c>
      <c r="D34" s="374">
        <f>[4]Famille!$I$79</f>
        <v>0</v>
      </c>
      <c r="E34" s="374">
        <f>[4]Famille!$R$79</f>
        <v>0</v>
      </c>
      <c r="F34" s="374">
        <f>[4]Famille!$W$79</f>
        <v>0</v>
      </c>
      <c r="G34" s="374">
        <f>[4]Famille!$AB$79</f>
        <v>0</v>
      </c>
      <c r="H34" s="374">
        <f>[4]Famille!$AG$79</f>
        <v>0</v>
      </c>
      <c r="I34" s="374">
        <f>[4]Famille!$AL$79</f>
        <v>0</v>
      </c>
      <c r="J34" s="104">
        <f>D34/C34-1</f>
        <v>-1</v>
      </c>
      <c r="K34" s="104" t="e">
        <f t="shared" si="22"/>
        <v>#DIV/0!</v>
      </c>
      <c r="L34" s="104" t="e">
        <f t="shared" si="22"/>
        <v>#DIV/0!</v>
      </c>
      <c r="M34" s="104" t="e">
        <f t="shared" si="22"/>
        <v>#DIV/0!</v>
      </c>
      <c r="N34" s="104" t="e">
        <f t="shared" si="22"/>
        <v>#DIV/0!</v>
      </c>
      <c r="O34" s="104" t="e">
        <f t="shared" si="22"/>
        <v>#DIV/0!</v>
      </c>
    </row>
    <row r="35" spans="1:16" x14ac:dyDescent="0.2">
      <c r="A35" s="79" t="s">
        <v>85</v>
      </c>
      <c r="B35" s="374">
        <f>[4]Vieillesse!$G$94</f>
        <v>0.78545597</v>
      </c>
      <c r="C35" s="374">
        <f>[4]Vieillesse!$H$94</f>
        <v>0.43509486999999997</v>
      </c>
      <c r="D35" s="374">
        <f>[4]Vieillesse!$I$94</f>
        <v>0</v>
      </c>
      <c r="E35" s="374">
        <f>[4]Vieillesse!$R$94</f>
        <v>0</v>
      </c>
      <c r="F35" s="374">
        <f>[4]Vieillesse!$W$94</f>
        <v>0</v>
      </c>
      <c r="G35" s="374">
        <f>[4]Vieillesse!$AB$94</f>
        <v>0</v>
      </c>
      <c r="H35" s="374">
        <f>[4]Vieillesse!$AG$94</f>
        <v>0</v>
      </c>
      <c r="I35" s="374">
        <f>[4]Vieillesse!$AL$94</f>
        <v>0</v>
      </c>
      <c r="J35" s="104">
        <f>D35/C35-1</f>
        <v>-1</v>
      </c>
      <c r="K35" s="104" t="e">
        <f t="shared" si="22"/>
        <v>#DIV/0!</v>
      </c>
      <c r="L35" s="104" t="e">
        <f t="shared" si="22"/>
        <v>#DIV/0!</v>
      </c>
      <c r="M35" s="104" t="e">
        <f t="shared" si="22"/>
        <v>#DIV/0!</v>
      </c>
      <c r="N35" s="104" t="e">
        <f t="shared" si="22"/>
        <v>#DIV/0!</v>
      </c>
      <c r="O35" s="104" t="e">
        <f t="shared" si="22"/>
        <v>#DIV/0!</v>
      </c>
    </row>
    <row r="36" spans="1:16" x14ac:dyDescent="0.2">
      <c r="A36" s="101"/>
      <c r="B36" s="108"/>
      <c r="C36" s="108"/>
      <c r="D36" s="108"/>
      <c r="E36" s="147"/>
      <c r="F36" s="147"/>
      <c r="G36" s="147"/>
      <c r="H36" s="147"/>
      <c r="I36" s="147"/>
      <c r="J36" s="103"/>
      <c r="K36" s="103"/>
      <c r="L36" s="103"/>
      <c r="M36" s="103"/>
      <c r="N36" s="103"/>
      <c r="O36" s="103"/>
      <c r="P36" s="413">
        <f>D37/D49</f>
        <v>4.8795036754118858E-2</v>
      </c>
    </row>
    <row r="37" spans="1:16" x14ac:dyDescent="0.2">
      <c r="A37" s="98" t="s">
        <v>90</v>
      </c>
      <c r="B37" s="105">
        <f t="shared" ref="B37" si="23">SUM(B38:B41)</f>
        <v>768.3705964799999</v>
      </c>
      <c r="C37" s="105">
        <f>SUM(C38:C42)</f>
        <v>793.46595298000011</v>
      </c>
      <c r="D37" s="105">
        <f>SUM(D38:D42)</f>
        <v>754.49803847999999</v>
      </c>
      <c r="E37" s="144">
        <f>SUM(E38:E42)</f>
        <v>776.46126664529197</v>
      </c>
      <c r="F37" s="144">
        <f t="shared" ref="F37:I37" si="24">SUM(F38:F42)</f>
        <v>801.88829174222951</v>
      </c>
      <c r="G37" s="144">
        <f t="shared" si="24"/>
        <v>818.19497574931074</v>
      </c>
      <c r="H37" s="144">
        <f t="shared" si="24"/>
        <v>836.86907429780047</v>
      </c>
      <c r="I37" s="144">
        <f t="shared" si="24"/>
        <v>854.51509553208575</v>
      </c>
      <c r="J37" s="100">
        <f>D37/C37-1</f>
        <v>-4.9111010187203763E-2</v>
      </c>
      <c r="K37" s="100">
        <f t="shared" ref="K37:O41" si="25">E37/D37-1</f>
        <v>2.9109722020667972E-2</v>
      </c>
      <c r="L37" s="100">
        <f t="shared" si="25"/>
        <v>3.2747319395332264E-2</v>
      </c>
      <c r="M37" s="100">
        <f t="shared" si="25"/>
        <v>2.0335356152479056E-2</v>
      </c>
      <c r="N37" s="100">
        <f t="shared" si="25"/>
        <v>2.2823531189968271E-2</v>
      </c>
      <c r="O37" s="100">
        <f t="shared" si="25"/>
        <v>2.1085760934697717E-2</v>
      </c>
      <c r="P37" s="151">
        <f>((I37/E37)^(1/4)-1)</f>
        <v>2.4235880600102844E-2</v>
      </c>
    </row>
    <row r="38" spans="1:16" x14ac:dyDescent="0.2">
      <c r="A38" s="79" t="s">
        <v>82</v>
      </c>
      <c r="B38" s="374">
        <f>[4]Maladie!$G$101</f>
        <v>406.35925606999996</v>
      </c>
      <c r="C38" s="374">
        <f>[4]Maladie!$H$101</f>
        <v>406.80084109000006</v>
      </c>
      <c r="D38" s="374">
        <f>[4]Maladie!$I$101</f>
        <v>409.12918354000004</v>
      </c>
      <c r="E38" s="374">
        <f>[4]Maladie!$R$101</f>
        <v>418.16248476623508</v>
      </c>
      <c r="F38" s="374">
        <f>[4]Maladie!$W$101</f>
        <v>431.70533845603967</v>
      </c>
      <c r="G38" s="374">
        <f>[4]Maladie!$AB$101</f>
        <v>440.88245385859301</v>
      </c>
      <c r="H38" s="374">
        <f>[4]Maladie!$AG$101</f>
        <v>452.74278901593851</v>
      </c>
      <c r="I38" s="374">
        <f>[4]Maladie!$AL$101</f>
        <v>463.58825659909473</v>
      </c>
      <c r="J38" s="104">
        <f>D38/C38-1</f>
        <v>5.7235438446030518E-3</v>
      </c>
      <c r="K38" s="104">
        <f t="shared" si="25"/>
        <v>2.2079337259870213E-2</v>
      </c>
      <c r="L38" s="104">
        <f t="shared" si="25"/>
        <v>3.2386582209485981E-2</v>
      </c>
      <c r="M38" s="104">
        <f t="shared" si="25"/>
        <v>2.1257822373414559E-2</v>
      </c>
      <c r="N38" s="104">
        <f t="shared" si="25"/>
        <v>2.6901354439361702E-2</v>
      </c>
      <c r="O38" s="104">
        <f t="shared" si="25"/>
        <v>2.3955031082282918E-2</v>
      </c>
    </row>
    <row r="39" spans="1:16" x14ac:dyDescent="0.2">
      <c r="A39" s="79" t="s">
        <v>83</v>
      </c>
      <c r="B39" s="374">
        <f>[4]AT!$G$55</f>
        <v>88.542911910000001</v>
      </c>
      <c r="C39" s="374">
        <f>[4]AT!$H$55</f>
        <v>89.995679300000006</v>
      </c>
      <c r="D39" s="374">
        <f>[4]AT!$I$55</f>
        <v>84.290724920000002</v>
      </c>
      <c r="E39" s="374">
        <f>[4]AT!$R$55</f>
        <v>86.922347362665263</v>
      </c>
      <c r="F39" s="374">
        <f>[4]AT!$W$55</f>
        <v>89.586829724199475</v>
      </c>
      <c r="G39" s="374">
        <f>[4]AT!$AB$55</f>
        <v>91.929277642114741</v>
      </c>
      <c r="H39" s="374">
        <f>[4]AT!$AG$55</f>
        <v>94.277213138780183</v>
      </c>
      <c r="I39" s="374">
        <f>[4]AT!$AL$55</f>
        <v>96.783327733890218</v>
      </c>
      <c r="J39" s="104">
        <f>D39/C39-1</f>
        <v>-6.3391425281457914E-2</v>
      </c>
      <c r="K39" s="104">
        <f>E39/D39-1</f>
        <v>3.1220783130800234E-2</v>
      </c>
      <c r="L39" s="104">
        <f>F39/E39-1</f>
        <v>3.0653594183521315E-2</v>
      </c>
      <c r="M39" s="104">
        <f>G39/F39-1</f>
        <v>2.6147235314908368E-2</v>
      </c>
      <c r="N39" s="104">
        <f>H39/G39-1</f>
        <v>2.5540671665082337E-2</v>
      </c>
      <c r="O39" s="104">
        <f>I39/H39-1</f>
        <v>2.6582400048471122E-2</v>
      </c>
    </row>
    <row r="40" spans="1:16" x14ac:dyDescent="0.2">
      <c r="A40" s="79" t="s">
        <v>84</v>
      </c>
      <c r="B40" s="374">
        <f>[4]Famille!$G$61</f>
        <v>82.129702340000009</v>
      </c>
      <c r="C40" s="374">
        <f>[4]Famille!$H$61</f>
        <v>69.956644780000005</v>
      </c>
      <c r="D40" s="374">
        <f>[4]Famille!$I$61</f>
        <v>60.295213629999992</v>
      </c>
      <c r="E40" s="374">
        <f>[4]Famille!$R$61</f>
        <v>62.425367208813036</v>
      </c>
      <c r="F40" s="374">
        <f>[4]Famille!$W$61</f>
        <v>63.735800643899651</v>
      </c>
      <c r="G40" s="374">
        <f>[4]Famille!$AB$61</f>
        <v>64.414289363652273</v>
      </c>
      <c r="H40" s="374">
        <f>[4]Famille!$AG$61</f>
        <v>65.086201851336739</v>
      </c>
      <c r="I40" s="374">
        <f>[4]Famille!$AL$61</f>
        <v>65.705011451200988</v>
      </c>
      <c r="J40" s="104">
        <f>D40/C40-1</f>
        <v>-0.13810598236069394</v>
      </c>
      <c r="K40" s="104">
        <f t="shared" si="25"/>
        <v>3.5328734248868843E-2</v>
      </c>
      <c r="L40" s="104">
        <f t="shared" si="25"/>
        <v>2.0992002028649814E-2</v>
      </c>
      <c r="M40" s="104">
        <f t="shared" si="25"/>
        <v>1.0645331397708846E-2</v>
      </c>
      <c r="N40" s="104">
        <f t="shared" si="25"/>
        <v>1.0431109220054635E-2</v>
      </c>
      <c r="O40" s="104">
        <f t="shared" si="25"/>
        <v>9.5075389600651761E-3</v>
      </c>
    </row>
    <row r="41" spans="1:16" x14ac:dyDescent="0.2">
      <c r="A41" s="79" t="s">
        <v>85</v>
      </c>
      <c r="B41" s="374">
        <f>[4]Vieillesse!$G$71</f>
        <v>191.33872616000002</v>
      </c>
      <c r="C41" s="374">
        <f>[4]Vieillesse!$H$71</f>
        <v>193.21758862000001</v>
      </c>
      <c r="D41" s="374">
        <f>[4]Vieillesse!$I$71</f>
        <v>158.87089508</v>
      </c>
      <c r="E41" s="374">
        <v>166.29045730204098</v>
      </c>
      <c r="F41" s="374">
        <v>172.53987170564898</v>
      </c>
      <c r="G41" s="374">
        <v>175.97365784711712</v>
      </c>
      <c r="H41" s="374">
        <v>179.30260575622367</v>
      </c>
      <c r="I41" s="374">
        <v>182.66614482827495</v>
      </c>
      <c r="J41" s="104">
        <f>D41/C41-1</f>
        <v>-0.17776173372885573</v>
      </c>
      <c r="K41" s="104">
        <f t="shared" si="25"/>
        <v>4.6701834330981962E-2</v>
      </c>
      <c r="L41" s="104">
        <f t="shared" si="25"/>
        <v>3.7581317082175714E-2</v>
      </c>
      <c r="M41" s="104">
        <f t="shared" si="25"/>
        <v>1.9901406599664995E-2</v>
      </c>
      <c r="N41" s="104">
        <f t="shared" si="25"/>
        <v>1.891730813482706E-2</v>
      </c>
      <c r="O41" s="104">
        <f t="shared" si="25"/>
        <v>1.8759008313712355E-2</v>
      </c>
    </row>
    <row r="42" spans="1:16" x14ac:dyDescent="0.2">
      <c r="A42" s="79" t="s">
        <v>243</v>
      </c>
      <c r="B42" s="106">
        <f>[4]SASPA!$G$71</f>
        <v>28.705175860000001</v>
      </c>
      <c r="C42" s="106">
        <f>[4]SASPA!$H$71</f>
        <v>33.495199190000001</v>
      </c>
      <c r="D42" s="106">
        <f>[4]SASPA!$I$71</f>
        <v>41.91202131</v>
      </c>
      <c r="E42" s="145">
        <f>[4]SASPA!$R$71</f>
        <v>42.66061000553762</v>
      </c>
      <c r="F42" s="145">
        <f>[4]SASPA!$W$71</f>
        <v>44.320451212441696</v>
      </c>
      <c r="G42" s="145">
        <f>[4]SASPA!$AB$71</f>
        <v>44.995297037833581</v>
      </c>
      <c r="H42" s="145">
        <f>[4]SASPA!$AG$71</f>
        <v>45.460264535521397</v>
      </c>
      <c r="I42" s="145">
        <f>[4]SASPA!$AL$71</f>
        <v>45.772354919624817</v>
      </c>
      <c r="J42" s="104"/>
      <c r="K42" s="104"/>
      <c r="L42" s="104"/>
      <c r="M42" s="104"/>
      <c r="N42" s="104"/>
      <c r="O42" s="104"/>
      <c r="P42" s="413">
        <f>D43/D49</f>
        <v>4.4596126083676614E-2</v>
      </c>
    </row>
    <row r="43" spans="1:16" x14ac:dyDescent="0.2">
      <c r="A43" s="98" t="s">
        <v>91</v>
      </c>
      <c r="B43" s="105">
        <f t="shared" ref="B43:I43" si="26">SUM(B44:B47)</f>
        <v>674.62064320000002</v>
      </c>
      <c r="C43" s="105">
        <f t="shared" si="26"/>
        <v>681.07337615999995</v>
      </c>
      <c r="D43" s="105">
        <f t="shared" si="26"/>
        <v>689.57197067999994</v>
      </c>
      <c r="E43" s="144">
        <f t="shared" si="26"/>
        <v>676.44603104557689</v>
      </c>
      <c r="F43" s="144">
        <f>SUM(F44:F47)</f>
        <v>665.08642841025016</v>
      </c>
      <c r="G43" s="144">
        <f t="shared" si="26"/>
        <v>654.04002251126656</v>
      </c>
      <c r="H43" s="144">
        <f>SUM(H44:H47)</f>
        <v>643.30152571974463</v>
      </c>
      <c r="I43" s="144">
        <f t="shared" si="26"/>
        <v>632.86579855971786</v>
      </c>
      <c r="J43" s="100">
        <f>D43/C43-1</f>
        <v>1.2478236292125189E-2</v>
      </c>
      <c r="K43" s="100">
        <f t="shared" ref="K43:O47" si="27">E43/D43-1</f>
        <v>-1.9034908889175584E-2</v>
      </c>
      <c r="L43" s="100">
        <f t="shared" si="27"/>
        <v>-1.679306569035266E-2</v>
      </c>
      <c r="M43" s="100">
        <f t="shared" si="27"/>
        <v>-1.6608978062276347E-2</v>
      </c>
      <c r="N43" s="100">
        <f t="shared" si="27"/>
        <v>-1.6418715096807257E-2</v>
      </c>
      <c r="O43" s="100">
        <f t="shared" si="27"/>
        <v>-1.6222139607629527E-2</v>
      </c>
      <c r="P43" s="151">
        <f>((I43/E43)^(1/4)-1)</f>
        <v>-1.6510747633882716E-2</v>
      </c>
    </row>
    <row r="44" spans="1:16" x14ac:dyDescent="0.2">
      <c r="A44" s="79" t="s">
        <v>82</v>
      </c>
      <c r="B44" s="374">
        <f>[4]Maladie!$G$136</f>
        <v>317.35087403</v>
      </c>
      <c r="C44" s="374">
        <f>[4]Maladie!$H$136</f>
        <v>332.37607204</v>
      </c>
      <c r="D44" s="374">
        <f>[4]Maladie!$I$136</f>
        <v>341.52975994999997</v>
      </c>
      <c r="E44" s="374">
        <f>[4]Maladie!$R$136</f>
        <v>335.03129607283887</v>
      </c>
      <c r="F44" s="374">
        <f>[4]Maladie!$W$136</f>
        <v>329.40503660125165</v>
      </c>
      <c r="G44" s="374">
        <f>[4]Maladie!$AB$136</f>
        <v>323.93393188761667</v>
      </c>
      <c r="H44" s="374">
        <f>[4]Maladie!$AG$136</f>
        <v>318.61536223388327</v>
      </c>
      <c r="I44" s="374">
        <f>[4]Maladie!$AL$136</f>
        <v>313.44678134652116</v>
      </c>
      <c r="J44" s="104">
        <f>D44/C44-1</f>
        <v>2.7540153097718623E-2</v>
      </c>
      <c r="K44" s="104">
        <f t="shared" si="27"/>
        <v>-1.9027518650534203E-2</v>
      </c>
      <c r="L44" s="104">
        <f t="shared" si="27"/>
        <v>-1.6793235550042529E-2</v>
      </c>
      <c r="M44" s="104">
        <f t="shared" si="27"/>
        <v>-1.6609049971078038E-2</v>
      </c>
      <c r="N44" s="104">
        <f t="shared" si="27"/>
        <v>-1.6418686436277974E-2</v>
      </c>
      <c r="O44" s="104">
        <f t="shared" si="27"/>
        <v>-1.622200778745897E-2</v>
      </c>
    </row>
    <row r="45" spans="1:16" x14ac:dyDescent="0.2">
      <c r="A45" s="79" t="s">
        <v>83</v>
      </c>
      <c r="B45" s="374">
        <f>[4]AT!$G$80</f>
        <v>51.616929500000005</v>
      </c>
      <c r="C45" s="374">
        <f>[4]AT!$H$80</f>
        <v>50.29831326</v>
      </c>
      <c r="D45" s="374">
        <f>[4]AT!$I$80</f>
        <v>49.339755529999998</v>
      </c>
      <c r="E45" s="374">
        <f>[4]AT!$R$80</f>
        <v>48.415865725136385</v>
      </c>
      <c r="F45" s="374">
        <f>[4]AT!$W$80</f>
        <v>47.602470214294556</v>
      </c>
      <c r="G45" s="374">
        <f>[4]AT!$AB$80</f>
        <v>46.811698356394643</v>
      </c>
      <c r="H45" s="374">
        <f>[4]AT!$AG$80</f>
        <v>46.043166652376236</v>
      </c>
      <c r="I45" s="374">
        <f>[4]AT!$AL$80</f>
        <v>45.29650237121897</v>
      </c>
      <c r="J45" s="104">
        <f>D45/C45-1</f>
        <v>-1.9057452782662243E-2</v>
      </c>
      <c r="K45" s="104">
        <f t="shared" si="27"/>
        <v>-1.8725058422753293E-2</v>
      </c>
      <c r="L45" s="104">
        <f t="shared" si="27"/>
        <v>-1.6800185200851026E-2</v>
      </c>
      <c r="M45" s="104">
        <f t="shared" si="27"/>
        <v>-1.6611992073941817E-2</v>
      </c>
      <c r="N45" s="104">
        <f t="shared" si="27"/>
        <v>-1.6417513805358941E-2</v>
      </c>
      <c r="O45" s="104">
        <f t="shared" si="27"/>
        <v>-1.6216614439109822E-2</v>
      </c>
    </row>
    <row r="46" spans="1:16" x14ac:dyDescent="0.2">
      <c r="A46" s="79" t="s">
        <v>84</v>
      </c>
      <c r="B46" s="374">
        <f>[4]Famille!$G$72</f>
        <v>182.66916549999999</v>
      </c>
      <c r="C46" s="374">
        <f>[4]Famille!$H$72</f>
        <v>187.32606887</v>
      </c>
      <c r="D46" s="374">
        <f>[4]Famille!$I$72</f>
        <v>184.25225839999999</v>
      </c>
      <c r="E46" s="374">
        <f>[4]Famille!$R$72</f>
        <v>180.72965149918761</v>
      </c>
      <c r="F46" s="374">
        <f>[4]Famille!$W$72</f>
        <v>177.69499340612313</v>
      </c>
      <c r="G46" s="374">
        <f>[4]Famille!$AB$72</f>
        <v>174.7438055154675</v>
      </c>
      <c r="H46" s="374">
        <f>[4]Famille!$AG$72</f>
        <v>171.87468017750678</v>
      </c>
      <c r="I46" s="374">
        <f>[4]Famille!$AL$72</f>
        <v>169.08624916015134</v>
      </c>
      <c r="J46" s="104">
        <f>D46/C46-1</f>
        <v>-1.6408877250998932E-2</v>
      </c>
      <c r="K46" s="104">
        <f t="shared" si="27"/>
        <v>-1.9118391988254602E-2</v>
      </c>
      <c r="L46" s="104">
        <f t="shared" si="27"/>
        <v>-1.6791146709415949E-2</v>
      </c>
      <c r="M46" s="104">
        <f t="shared" si="27"/>
        <v>-1.6608165678087872E-2</v>
      </c>
      <c r="N46" s="104">
        <f t="shared" si="27"/>
        <v>-1.6419038886656079E-2</v>
      </c>
      <c r="O46" s="104">
        <f t="shared" si="27"/>
        <v>-1.6223628835123516E-2</v>
      </c>
    </row>
    <row r="47" spans="1:16" x14ac:dyDescent="0.2">
      <c r="A47" s="79" t="s">
        <v>85</v>
      </c>
      <c r="B47" s="374">
        <f>[4]Vieillesse!$G$87</f>
        <v>122.98367417</v>
      </c>
      <c r="C47" s="374">
        <f>[4]Vieillesse!$H$87</f>
        <v>111.07292199</v>
      </c>
      <c r="D47" s="374">
        <f>[4]Vieillesse!$I$87</f>
        <v>114.4501968</v>
      </c>
      <c r="E47" s="374">
        <f>[4]Vieillesse!$R$87</f>
        <v>112.26921774841398</v>
      </c>
      <c r="F47" s="374">
        <f>[4]Vieillesse!$W$87</f>
        <v>110.38392818858091</v>
      </c>
      <c r="G47" s="374">
        <f>[4]Vieillesse!$AB$87</f>
        <v>108.55058675178785</v>
      </c>
      <c r="H47" s="374">
        <f>[4]Vieillesse!$AG$87</f>
        <v>106.76831665597841</v>
      </c>
      <c r="I47" s="374">
        <f>[4]Vieillesse!$AL$87</f>
        <v>105.03626568182631</v>
      </c>
      <c r="J47" s="104">
        <f>D47/C47-1</f>
        <v>3.0405923869582407E-2</v>
      </c>
      <c r="K47" s="104">
        <f t="shared" si="27"/>
        <v>-1.905614068446948E-2</v>
      </c>
      <c r="L47" s="104">
        <f t="shared" si="27"/>
        <v>-1.6792577677505971E-2</v>
      </c>
      <c r="M47" s="104">
        <f t="shared" si="27"/>
        <v>-1.6608771465905448E-2</v>
      </c>
      <c r="N47" s="104">
        <f t="shared" si="27"/>
        <v>-1.6418797439435195E-2</v>
      </c>
      <c r="O47" s="104">
        <f t="shared" si="27"/>
        <v>-1.6222518331285518E-2</v>
      </c>
    </row>
    <row r="48" spans="1:16" x14ac:dyDescent="0.2">
      <c r="A48" s="79"/>
      <c r="B48" s="106"/>
      <c r="C48" s="106"/>
      <c r="D48" s="106"/>
      <c r="E48" s="145"/>
      <c r="F48" s="145"/>
      <c r="G48" s="145"/>
      <c r="H48" s="145"/>
      <c r="I48" s="145"/>
      <c r="J48" s="104"/>
      <c r="K48" s="104"/>
      <c r="L48" s="104"/>
      <c r="M48" s="104"/>
      <c r="N48" s="104"/>
      <c r="O48" s="104"/>
    </row>
    <row r="49" spans="1:16" x14ac:dyDescent="0.2">
      <c r="A49" s="109" t="s">
        <v>92</v>
      </c>
      <c r="B49" s="110">
        <f t="shared" ref="B49:I49" si="28">B4+B23+B25+B31+B37+B43</f>
        <v>15253.660871410002</v>
      </c>
      <c r="C49" s="110">
        <f t="shared" si="28"/>
        <v>15044.778084390002</v>
      </c>
      <c r="D49" s="110">
        <f t="shared" si="28"/>
        <v>15462.598015490003</v>
      </c>
      <c r="E49" s="110">
        <f t="shared" si="28"/>
        <v>15698.376587286903</v>
      </c>
      <c r="F49" s="110">
        <f t="shared" si="28"/>
        <v>16189.022463153993</v>
      </c>
      <c r="G49" s="110">
        <f t="shared" si="28"/>
        <v>16655.173304018048</v>
      </c>
      <c r="H49" s="110">
        <f t="shared" si="28"/>
        <v>17092.592362694013</v>
      </c>
      <c r="I49" s="110">
        <f t="shared" si="28"/>
        <v>17525.652039896566</v>
      </c>
      <c r="J49" s="111">
        <f t="shared" ref="J49:O49" si="29">D49/C49-1</f>
        <v>2.7771757666104513E-2</v>
      </c>
      <c r="K49" s="111">
        <f t="shared" si="29"/>
        <v>1.5248315422848213E-2</v>
      </c>
      <c r="L49" s="111">
        <f t="shared" si="29"/>
        <v>3.1254561459841179E-2</v>
      </c>
      <c r="M49" s="111">
        <f t="shared" si="29"/>
        <v>2.8794254991307167E-2</v>
      </c>
      <c r="N49" s="111">
        <f t="shared" si="29"/>
        <v>2.6263254707198813E-2</v>
      </c>
      <c r="O49" s="111">
        <f t="shared" si="29"/>
        <v>2.533610279899623E-2</v>
      </c>
      <c r="P49" s="151">
        <f>((I49/E49)^(1/4)-1)</f>
        <v>2.7909454006773249E-2</v>
      </c>
    </row>
    <row r="50" spans="1:16" x14ac:dyDescent="0.2">
      <c r="B50" s="448"/>
      <c r="C50" s="449"/>
      <c r="D50" s="449"/>
      <c r="E50" s="449"/>
      <c r="F50" s="449"/>
      <c r="G50" s="449"/>
      <c r="H50" s="449"/>
      <c r="I50" s="449"/>
    </row>
    <row r="51" spans="1:16" x14ac:dyDescent="0.2">
      <c r="C51" s="446"/>
      <c r="D51" s="446"/>
      <c r="E51" s="446"/>
      <c r="F51" s="446"/>
      <c r="G51" s="446"/>
      <c r="H51" s="446"/>
      <c r="I51" s="446"/>
      <c r="M51"/>
      <c r="N51"/>
    </row>
    <row r="52" spans="1:16" x14ac:dyDescent="0.2">
      <c r="C52" s="120"/>
      <c r="D52" s="197"/>
      <c r="E52" s="120"/>
      <c r="F52" s="120"/>
      <c r="G52" s="120"/>
      <c r="H52" s="120"/>
      <c r="I52" s="120"/>
      <c r="L52" s="172" t="s">
        <v>131</v>
      </c>
    </row>
    <row r="53" spans="1:16" x14ac:dyDescent="0.2">
      <c r="C53" s="120"/>
    </row>
    <row r="55" spans="1:16" x14ac:dyDescent="0.2">
      <c r="A55" s="112" t="s">
        <v>104</v>
      </c>
      <c r="B55" s="77">
        <f t="shared" ref="B55:G55" si="30">D2</f>
        <v>2022</v>
      </c>
      <c r="C55" s="77">
        <f t="shared" si="30"/>
        <v>2023</v>
      </c>
      <c r="D55" s="77">
        <f t="shared" si="30"/>
        <v>2024</v>
      </c>
      <c r="E55" s="77">
        <f t="shared" si="30"/>
        <v>2025</v>
      </c>
      <c r="F55" s="77">
        <f t="shared" si="30"/>
        <v>2026</v>
      </c>
      <c r="G55" s="77">
        <f t="shared" si="30"/>
        <v>2027</v>
      </c>
      <c r="H55" s="77" t="s">
        <v>229</v>
      </c>
      <c r="J55" s="148"/>
    </row>
    <row r="56" spans="1:16" x14ac:dyDescent="0.2">
      <c r="A56" s="113" t="s">
        <v>80</v>
      </c>
      <c r="B56" s="149">
        <f t="shared" ref="B56:G56" si="31">(C4/C$49)*J4*100</f>
        <v>4.0601123902504384</v>
      </c>
      <c r="C56" s="149">
        <f t="shared" si="31"/>
        <v>1.5133039909778059</v>
      </c>
      <c r="D56" s="149">
        <f t="shared" si="31"/>
        <v>4.0693847459117354</v>
      </c>
      <c r="E56" s="149">
        <f t="shared" si="31"/>
        <v>2.7818285142784704</v>
      </c>
      <c r="F56" s="149">
        <f t="shared" si="31"/>
        <v>2.5106412655240269</v>
      </c>
      <c r="G56" s="149">
        <f t="shared" si="31"/>
        <v>2.4120364368454172</v>
      </c>
      <c r="H56" s="342">
        <f>(G56/C56)^(1/4)-1</f>
        <v>0.12360696248483238</v>
      </c>
      <c r="J56" s="148"/>
      <c r="M56"/>
      <c r="P56" s="9"/>
    </row>
    <row r="57" spans="1:16" x14ac:dyDescent="0.2">
      <c r="A57" s="113" t="s">
        <v>87</v>
      </c>
      <c r="B57" s="149">
        <f t="shared" ref="B57:G57" si="32">(C23/C$49)*J23*100</f>
        <v>-1.0729328701596792</v>
      </c>
      <c r="C57" s="149">
        <f t="shared" si="32"/>
        <v>-4.5838083293982826E-2</v>
      </c>
      <c r="D57" s="149">
        <f t="shared" si="32"/>
        <v>-1.0337759702100047</v>
      </c>
      <c r="E57" s="149">
        <f t="shared" si="32"/>
        <v>6.4845117080376297E-2</v>
      </c>
      <c r="F57" s="149">
        <f t="shared" si="32"/>
        <v>6.7753627003200798E-2</v>
      </c>
      <c r="G57" s="149">
        <f t="shared" si="32"/>
        <v>7.9303820110453144E-2</v>
      </c>
      <c r="H57" s="342" t="e">
        <f>(G57/C57)^(1/4)-1</f>
        <v>#NUM!</v>
      </c>
      <c r="J57" s="148"/>
      <c r="M57"/>
      <c r="P57" s="9"/>
    </row>
    <row r="58" spans="1:16" x14ac:dyDescent="0.2">
      <c r="A58" s="113" t="s">
        <v>88</v>
      </c>
      <c r="B58" s="114">
        <f>(C25/C$49)*J25*100</f>
        <v>8.8979406840767397E-3</v>
      </c>
      <c r="C58" s="114">
        <f>(D25/D$49)*K25*100</f>
        <v>2.1295869224169703E-4</v>
      </c>
      <c r="D58" s="114">
        <f t="shared" ref="D58" si="33">(F25/F$49)*L25*100</f>
        <v>2.32169253225488E-4</v>
      </c>
      <c r="E58" s="114">
        <f>(F25/F$49)*M25*100</f>
        <v>2.58997247573805E-4</v>
      </c>
      <c r="F58" s="114">
        <f>(G25/G$49)*N25*100</f>
        <v>2.8411056298678801E-4</v>
      </c>
      <c r="G58" s="114">
        <f>(H25/H$49)*O25*100</f>
        <v>8.628673066520608E-5</v>
      </c>
      <c r="H58" s="342">
        <f t="shared" ref="H58:H62" si="34">(G58/C58)^(1/4)-1</f>
        <v>-0.20216669667537379</v>
      </c>
      <c r="J58" s="148"/>
      <c r="M58"/>
      <c r="P58" s="9"/>
    </row>
    <row r="59" spans="1:16" x14ac:dyDescent="0.2">
      <c r="A59" s="113" t="s">
        <v>89</v>
      </c>
      <c r="B59" s="114">
        <f>(C31/C$49)*J31*100</f>
        <v>-1.6377470748847555E-2</v>
      </c>
      <c r="C59" s="114" t="e">
        <f>(D31/D$49)*K31*100</f>
        <v>#DIV/0!</v>
      </c>
      <c r="D59" s="114" t="e">
        <f t="shared" ref="D59" si="35">(F31/F$49)*L31*100</f>
        <v>#DIV/0!</v>
      </c>
      <c r="E59" s="114" t="e">
        <f>(F31/F$49)*M31*100</f>
        <v>#DIV/0!</v>
      </c>
      <c r="F59" s="114" t="e">
        <f>(G31/G$49)*N31*100</f>
        <v>#DIV/0!</v>
      </c>
      <c r="G59" s="114" t="e">
        <f>(H31/H$49)*O31*100</f>
        <v>#DIV/0!</v>
      </c>
      <c r="H59" s="342" t="e">
        <f t="shared" si="34"/>
        <v>#DIV/0!</v>
      </c>
      <c r="J59" s="148"/>
      <c r="M59"/>
      <c r="P59" s="9"/>
    </row>
    <row r="60" spans="1:16" x14ac:dyDescent="0.2">
      <c r="A60" s="113" t="s">
        <v>90</v>
      </c>
      <c r="B60" s="114">
        <f t="shared" ref="B60:G60" si="36">(C37/C$49)*J37*100</f>
        <v>-0.25901288993044058</v>
      </c>
      <c r="C60" s="114">
        <f t="shared" si="36"/>
        <v>0.14204099559006769</v>
      </c>
      <c r="D60" s="114">
        <f t="shared" si="36"/>
        <v>0.16197232214144566</v>
      </c>
      <c r="E60" s="114">
        <f t="shared" si="36"/>
        <v>0.1007267983239573</v>
      </c>
      <c r="F60" s="114">
        <f t="shared" si="36"/>
        <v>0.11212191075781008</v>
      </c>
      <c r="G60" s="114">
        <f t="shared" si="36"/>
        <v>0.10323782876141768</v>
      </c>
      <c r="H60" s="342">
        <f t="shared" si="34"/>
        <v>-7.6671398680362324E-2</v>
      </c>
      <c r="J60" s="148"/>
      <c r="M60"/>
      <c r="P60" s="9"/>
    </row>
    <row r="61" spans="1:16" x14ac:dyDescent="0.2">
      <c r="A61" s="113" t="s">
        <v>91</v>
      </c>
      <c r="B61" s="114">
        <f t="shared" ref="B61:G61" si="37">(C43/C$49)*J43*100</f>
        <v>5.6488666514914056E-2</v>
      </c>
      <c r="C61" s="114">
        <f t="shared" si="37"/>
        <v>-8.4888319681297106E-2</v>
      </c>
      <c r="D61" s="114">
        <f t="shared" si="37"/>
        <v>-7.236163925718353E-2</v>
      </c>
      <c r="E61" s="114">
        <f t="shared" si="37"/>
        <v>-6.8233927799686789E-2</v>
      </c>
      <c r="F61" s="114">
        <f t="shared" si="37"/>
        <v>-6.4475443128119453E-2</v>
      </c>
      <c r="G61" s="114">
        <f t="shared" si="37"/>
        <v>-6.1054092548322891E-2</v>
      </c>
      <c r="H61" s="342">
        <f>(G61/C61)^(1/4)-1</f>
        <v>-7.909101361712545E-2</v>
      </c>
      <c r="J61" s="148"/>
      <c r="M61"/>
      <c r="P61" s="9"/>
    </row>
    <row r="62" spans="1:16" x14ac:dyDescent="0.2">
      <c r="A62" s="113" t="s">
        <v>93</v>
      </c>
      <c r="B62" s="115">
        <f t="shared" ref="B62:G62" si="38">(C49/C$49)*J49*100</f>
        <v>2.7771757666104513</v>
      </c>
      <c r="C62" s="115">
        <f t="shared" si="38"/>
        <v>1.5248315422848213</v>
      </c>
      <c r="D62" s="115">
        <f t="shared" si="38"/>
        <v>3.1254561459841179</v>
      </c>
      <c r="E62" s="115">
        <f t="shared" si="38"/>
        <v>2.8794254991307167</v>
      </c>
      <c r="F62" s="115">
        <f t="shared" si="38"/>
        <v>2.6263254707198813</v>
      </c>
      <c r="G62" s="115">
        <f t="shared" si="38"/>
        <v>2.533610279899623</v>
      </c>
      <c r="H62" s="342">
        <f t="shared" si="34"/>
        <v>0.13534927338055791</v>
      </c>
      <c r="J62" s="148"/>
      <c r="M62"/>
      <c r="P62" s="9"/>
    </row>
    <row r="63" spans="1:16" x14ac:dyDescent="0.2">
      <c r="A63" s="200" t="s">
        <v>159</v>
      </c>
      <c r="B63" s="201">
        <f t="shared" ref="B63:G63" si="39">(C3/C$49)*J3*100</f>
        <v>4.0601123902504384</v>
      </c>
      <c r="C63" s="201">
        <f t="shared" si="39"/>
        <v>1.5133039909778059</v>
      </c>
      <c r="D63" s="201">
        <f t="shared" si="39"/>
        <v>4.0693847459117354</v>
      </c>
      <c r="E63" s="201">
        <f t="shared" si="39"/>
        <v>2.7818285142784704</v>
      </c>
      <c r="F63" s="201">
        <f t="shared" si="39"/>
        <v>2.5106412655240269</v>
      </c>
      <c r="G63" s="201">
        <f t="shared" si="39"/>
        <v>2.4120364368454172</v>
      </c>
      <c r="H63" s="342">
        <f>(G63/C63)^(1/4)-1</f>
        <v>0.12360696248483238</v>
      </c>
    </row>
    <row r="66" spans="1:9" x14ac:dyDescent="0.2">
      <c r="A66" s="154" t="s">
        <v>116</v>
      </c>
      <c r="B66" s="163">
        <f t="shared" ref="B66:G66" si="40">B55</f>
        <v>2022</v>
      </c>
      <c r="C66" s="163">
        <f t="shared" si="40"/>
        <v>2023</v>
      </c>
      <c r="D66" s="163">
        <f t="shared" si="40"/>
        <v>2024</v>
      </c>
      <c r="E66" s="163">
        <f t="shared" si="40"/>
        <v>2025</v>
      </c>
      <c r="F66" s="163">
        <f t="shared" si="40"/>
        <v>2026</v>
      </c>
      <c r="G66" s="163">
        <f t="shared" si="40"/>
        <v>2027</v>
      </c>
    </row>
    <row r="67" spans="1:9" x14ac:dyDescent="0.2">
      <c r="A67" s="154" t="s">
        <v>117</v>
      </c>
      <c r="B67" s="162">
        <f t="shared" ref="B67:G67" si="41">D6+D12+D18+D26+D32+D38+D44</f>
        <v>6106.6009445300006</v>
      </c>
      <c r="C67" s="162">
        <f t="shared" si="41"/>
        <v>6010.9027175750416</v>
      </c>
      <c r="D67" s="162">
        <f>F6+F12+F18+F26+F32+F38+F44</f>
        <v>6179.0660861673323</v>
      </c>
      <c r="E67" s="162">
        <f t="shared" si="41"/>
        <v>6297.9188820518339</v>
      </c>
      <c r="F67" s="162">
        <f t="shared" si="41"/>
        <v>6449.1207924532446</v>
      </c>
      <c r="G67" s="162">
        <f t="shared" si="41"/>
        <v>6588.8795054888024</v>
      </c>
    </row>
    <row r="68" spans="1:9" x14ac:dyDescent="0.2">
      <c r="A68" s="154" t="s">
        <v>101</v>
      </c>
      <c r="B68" s="162">
        <f>D7+D13+D19+D27+D33+D39+D45</f>
        <v>740.97023516000002</v>
      </c>
      <c r="C68" s="162">
        <f>E7+E13+E19+E27+E33+E39+E45</f>
        <v>761.11148401653543</v>
      </c>
      <c r="D68" s="162">
        <f>F7+F13+F19+F27+F33+F39+F45</f>
        <v>783.88047217580879</v>
      </c>
      <c r="E68" s="162">
        <f t="shared" ref="E68:G71" si="42">G7+G13+G19+G27+G33+G39+G45</f>
        <v>807.88235513572079</v>
      </c>
      <c r="F68" s="162">
        <f t="shared" si="42"/>
        <v>833.47314352417618</v>
      </c>
      <c r="G68" s="162">
        <f t="shared" si="42"/>
        <v>861.39954133256526</v>
      </c>
    </row>
    <row r="69" spans="1:9" x14ac:dyDescent="0.2">
      <c r="A69" s="154" t="s">
        <v>118</v>
      </c>
      <c r="B69" s="162">
        <f>D8+D14+D20+D28+D34+D40+D46</f>
        <v>1023.51358857</v>
      </c>
      <c r="C69" s="162">
        <f t="shared" ref="B69:D71" si="43">E8+E14+E20+E28+E34+E40+E46</f>
        <v>1023.2470491617455</v>
      </c>
      <c r="D69" s="162">
        <f t="shared" si="43"/>
        <v>1007.4754968821379</v>
      </c>
      <c r="E69" s="162">
        <f t="shared" si="42"/>
        <v>1019.235875343388</v>
      </c>
      <c r="F69" s="162">
        <f t="shared" si="42"/>
        <v>1030.2775893922976</v>
      </c>
      <c r="G69" s="162">
        <f t="shared" si="42"/>
        <v>1040.5134163048506</v>
      </c>
    </row>
    <row r="70" spans="1:9" x14ac:dyDescent="0.2">
      <c r="A70" s="154" t="s">
        <v>153</v>
      </c>
      <c r="B70" s="162">
        <f t="shared" si="43"/>
        <v>6893.7466213700009</v>
      </c>
      <c r="C70" s="162">
        <f t="shared" si="43"/>
        <v>7191.9537050379231</v>
      </c>
      <c r="D70" s="162">
        <f t="shared" si="43"/>
        <v>7472.6660473370102</v>
      </c>
      <c r="E70" s="162">
        <f t="shared" si="42"/>
        <v>7771.5385564569478</v>
      </c>
      <c r="F70" s="162">
        <f t="shared" si="42"/>
        <v>8013.1305925749684</v>
      </c>
      <c r="G70" s="162">
        <f t="shared" si="42"/>
        <v>8262.743710499095</v>
      </c>
    </row>
    <row r="71" spans="1:9" x14ac:dyDescent="0.2">
      <c r="A71" s="154" t="s">
        <v>256</v>
      </c>
      <c r="B71" s="162">
        <f t="shared" si="43"/>
        <v>697.76662585999998</v>
      </c>
      <c r="C71" s="162">
        <f t="shared" ref="C71" si="44">E10+E16+E22+E30+E36+E42+E48</f>
        <v>711.16163149565739</v>
      </c>
      <c r="D71" s="162">
        <f t="shared" ref="D71" si="45">F10+F16+F22+F30+F36+F42+F48</f>
        <v>745.93436059170313</v>
      </c>
      <c r="E71" s="162">
        <f t="shared" si="42"/>
        <v>758.59763503015449</v>
      </c>
      <c r="F71" s="162">
        <f t="shared" si="42"/>
        <v>766.59024474932573</v>
      </c>
      <c r="G71" s="162">
        <f t="shared" si="42"/>
        <v>772.11586627125473</v>
      </c>
    </row>
    <row r="72" spans="1:9" x14ac:dyDescent="0.2">
      <c r="A72" s="164" t="s">
        <v>119</v>
      </c>
      <c r="B72" s="165">
        <f>SUM(B67:B71)</f>
        <v>15462.598015490003</v>
      </c>
      <c r="C72" s="165">
        <f t="shared" ref="C72:F72" si="46">SUM(C67:C71)</f>
        <v>15698.376587286903</v>
      </c>
      <c r="D72" s="165">
        <f t="shared" si="46"/>
        <v>16189.022463153993</v>
      </c>
      <c r="E72" s="165">
        <f t="shared" si="46"/>
        <v>16655.173304018044</v>
      </c>
      <c r="F72" s="165">
        <f t="shared" si="46"/>
        <v>17092.592362694013</v>
      </c>
      <c r="G72" s="165">
        <f>SUM(G67:G71)</f>
        <v>17525.652039896566</v>
      </c>
    </row>
    <row r="73" spans="1:9" x14ac:dyDescent="0.2">
      <c r="E73"/>
      <c r="F73"/>
      <c r="G73"/>
    </row>
    <row r="74" spans="1:9" x14ac:dyDescent="0.2">
      <c r="A74" s="400" t="s">
        <v>265</v>
      </c>
    </row>
    <row r="75" spans="1:9" ht="12.75" customHeight="1" x14ac:dyDescent="0.2">
      <c r="A75" s="340"/>
      <c r="B75" s="341">
        <v>2022</v>
      </c>
      <c r="C75" s="341">
        <v>2023</v>
      </c>
      <c r="D75" s="341"/>
      <c r="E75" s="341"/>
      <c r="F75" s="341"/>
      <c r="G75" s="341"/>
    </row>
    <row r="76" spans="1:9" x14ac:dyDescent="0.2">
      <c r="A76" s="340"/>
      <c r="B76" s="341" t="s">
        <v>228</v>
      </c>
      <c r="C76" s="341" t="s">
        <v>228</v>
      </c>
      <c r="D76" s="341" t="s">
        <v>0</v>
      </c>
      <c r="E76" s="341" t="s">
        <v>103</v>
      </c>
      <c r="F76" s="341" t="s">
        <v>231</v>
      </c>
      <c r="G76" s="341" t="s">
        <v>230</v>
      </c>
    </row>
    <row r="77" spans="1:9" x14ac:dyDescent="0.2">
      <c r="A77" s="334" t="s">
        <v>157</v>
      </c>
      <c r="B77" s="347">
        <f>TableauxNote!D47</f>
        <v>13548.121648940003</v>
      </c>
      <c r="C77" s="347">
        <f>TableauxNote!E47</f>
        <v>13782.117761817268</v>
      </c>
      <c r="D77" s="336">
        <f t="shared" ref="D77:D85" si="47">C77/B77-1</f>
        <v>1.727148005757484E-2</v>
      </c>
      <c r="E77" s="337">
        <f>'RESULTAT NET'!H17</f>
        <v>3.3136886275380695E-2</v>
      </c>
      <c r="F77" s="338">
        <f>(B77/B85)*D77*100</f>
        <v>1.5133039909778059</v>
      </c>
      <c r="G77" s="336">
        <f>C77/C85</f>
        <v>0.87793267572511358</v>
      </c>
      <c r="H77" s="329"/>
      <c r="I77" s="329"/>
    </row>
    <row r="78" spans="1:9" x14ac:dyDescent="0.2">
      <c r="A78" s="334" t="s">
        <v>158</v>
      </c>
      <c r="B78" s="335">
        <f>D23</f>
        <v>467.22755412999999</v>
      </c>
      <c r="C78" s="335">
        <f>E23</f>
        <v>460.13979557224593</v>
      </c>
      <c r="D78" s="336">
        <f t="shared" si="47"/>
        <v>-1.5169821418070661E-2</v>
      </c>
      <c r="E78" s="339">
        <f>P23</f>
        <v>-7.7532868851548087E-2</v>
      </c>
      <c r="F78" s="338">
        <f>(B78/B85)*D78*100</f>
        <v>-4.5838083293982826E-2</v>
      </c>
      <c r="G78" s="336">
        <f>C78/C85</f>
        <v>2.9311298083196918E-2</v>
      </c>
      <c r="H78" s="329"/>
      <c r="I78" s="329"/>
    </row>
    <row r="79" spans="1:9" x14ac:dyDescent="0.2">
      <c r="A79" s="340" t="s">
        <v>90</v>
      </c>
      <c r="B79" s="335">
        <f>D37</f>
        <v>754.49803847999999</v>
      </c>
      <c r="C79" s="335">
        <f>E37</f>
        <v>776.46126664529197</v>
      </c>
      <c r="D79" s="336">
        <f t="shared" si="47"/>
        <v>2.9109722020667972E-2</v>
      </c>
      <c r="E79" s="339">
        <f>P37</f>
        <v>2.4235880600102844E-2</v>
      </c>
      <c r="F79" s="338">
        <f>(B79/B85)*D79*100</f>
        <v>0.14204099559006769</v>
      </c>
      <c r="G79" s="336">
        <f>C79/C85</f>
        <v>4.9461246029356795E-2</v>
      </c>
      <c r="H79" s="329"/>
      <c r="I79" s="329"/>
    </row>
    <row r="80" spans="1:9" x14ac:dyDescent="0.2">
      <c r="A80" s="340" t="s">
        <v>91</v>
      </c>
      <c r="B80" s="335">
        <f>D43</f>
        <v>689.57197067999994</v>
      </c>
      <c r="C80" s="335">
        <f>E43</f>
        <v>676.44603104557689</v>
      </c>
      <c r="D80" s="336">
        <f t="shared" si="47"/>
        <v>-1.9034908889175584E-2</v>
      </c>
      <c r="E80" s="339">
        <f>P43</f>
        <v>-1.6510747633882716E-2</v>
      </c>
      <c r="F80" s="338">
        <f>(B80/B85)*D80*100</f>
        <v>-8.4888319681297106E-2</v>
      </c>
      <c r="G80" s="336">
        <f>C80/C85</f>
        <v>4.3090190076939976E-2</v>
      </c>
      <c r="H80" s="329"/>
      <c r="I80" s="329"/>
    </row>
    <row r="81" spans="1:9" x14ac:dyDescent="0.2">
      <c r="A81" s="225" t="s">
        <v>156</v>
      </c>
      <c r="B81" s="221">
        <f>SUM(B77:B80)</f>
        <v>15459.419212230003</v>
      </c>
      <c r="C81" s="221">
        <f>SUM(C77:C80)</f>
        <v>15695.164855080382</v>
      </c>
      <c r="D81" s="226">
        <f t="shared" si="47"/>
        <v>1.5249320793621957E-2</v>
      </c>
      <c r="E81" s="227">
        <f>P49</f>
        <v>2.7909454006773249E-2</v>
      </c>
      <c r="F81" s="228">
        <f>(B81/B85)*D81*100</f>
        <v>1.5246185835925781</v>
      </c>
      <c r="G81" s="226"/>
    </row>
    <row r="82" spans="1:9" x14ac:dyDescent="0.2">
      <c r="A82" s="25" t="s">
        <v>89</v>
      </c>
      <c r="B82" s="218">
        <f>D31</f>
        <v>0</v>
      </c>
      <c r="C82" s="218">
        <f>E31</f>
        <v>0</v>
      </c>
      <c r="D82" s="219" t="e">
        <f t="shared" si="47"/>
        <v>#DIV/0!</v>
      </c>
      <c r="E82" s="223" t="e">
        <f>P31</f>
        <v>#DIV/0!</v>
      </c>
      <c r="F82" s="555" t="e">
        <f>(B82/B85)*D82*100</f>
        <v>#DIV/0!</v>
      </c>
      <c r="G82" s="224">
        <f>C82/C85</f>
        <v>0</v>
      </c>
      <c r="H82" s="329"/>
      <c r="I82" s="329"/>
    </row>
    <row r="83" spans="1:9" x14ac:dyDescent="0.2">
      <c r="A83" s="25" t="s">
        <v>88</v>
      </c>
      <c r="B83" s="221">
        <f>D25</f>
        <v>3.1788032599999996</v>
      </c>
      <c r="C83" s="221">
        <f>E25</f>
        <v>3.2117322065203777</v>
      </c>
      <c r="D83" s="219">
        <f t="shared" si="47"/>
        <v>1.035891303332126E-2</v>
      </c>
      <c r="E83" s="223">
        <f>P25</f>
        <v>1.0810716875337967E-2</v>
      </c>
      <c r="F83" s="220">
        <f>(B83/B85)*D83*100</f>
        <v>2.1295869224169703E-4</v>
      </c>
      <c r="G83" s="224">
        <f>C83/C85</f>
        <v>2.0459008539273744E-4</v>
      </c>
      <c r="H83" s="329"/>
      <c r="I83" s="329"/>
    </row>
    <row r="84" spans="1:9" x14ac:dyDescent="0.2">
      <c r="A84" s="196" t="s">
        <v>177</v>
      </c>
      <c r="B84" s="120">
        <f>D4</f>
        <v>13548.121648940003</v>
      </c>
      <c r="C84" s="120">
        <f>E4</f>
        <v>13782.117761817268</v>
      </c>
      <c r="D84" s="219">
        <f t="shared" si="47"/>
        <v>1.727148005757484E-2</v>
      </c>
      <c r="E84" s="198">
        <f>P4</f>
        <v>3.3136886275380695E-2</v>
      </c>
      <c r="F84" s="152">
        <f>(B84/B85)*D84*100</f>
        <v>1.5133039909778059</v>
      </c>
      <c r="G84" s="198">
        <f>C84/C85</f>
        <v>0.87793267572511358</v>
      </c>
    </row>
    <row r="85" spans="1:9" x14ac:dyDescent="0.2">
      <c r="A85" s="343" t="s">
        <v>156</v>
      </c>
      <c r="B85" s="399">
        <f>B84+B78+B79+B80+B82+B83</f>
        <v>15462.598015490003</v>
      </c>
      <c r="C85" s="399">
        <f>C84+C78+C79+C80+C82+C83</f>
        <v>15698.376587286903</v>
      </c>
      <c r="D85" s="345">
        <f t="shared" si="47"/>
        <v>1.5248315422848213E-2</v>
      </c>
      <c r="E85" s="346">
        <f>P49</f>
        <v>2.7909454006773249E-2</v>
      </c>
      <c r="F85" s="344">
        <f>(B85/B85)*D85*100</f>
        <v>1.5248315422848213</v>
      </c>
      <c r="G85" s="346">
        <f>G78+G79+G80+G82+G84</f>
        <v>0.99979540991460725</v>
      </c>
    </row>
  </sheetData>
  <protectedRanges>
    <protectedRange sqref="G24:I24 G48:I48 G22:I22 G6:I6 G42:I42 G10:I10" name="Plage1"/>
    <protectedRange sqref="B24:F24 B6:F6 B22:F22 B42:F42 B48:F48 B10:F10 B7:I9 B18:I20 B26:I29 B32:I35 B38:I41 B44:I47 B21:H21 B12:I16" name="Plage1_1"/>
    <protectedRange sqref="B17:F17 B25:F25 B31:F31 B43:F43 B37:I37" name="Plage1_1_1"/>
  </protectedRanges>
  <mergeCells count="4">
    <mergeCell ref="A1:A2"/>
    <mergeCell ref="B1:C1"/>
    <mergeCell ref="E1:I1"/>
    <mergeCell ref="J1:O1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L54"/>
  <sheetViews>
    <sheetView zoomScale="90" zoomScaleNormal="90" workbookViewId="0">
      <selection sqref="A1:B1"/>
    </sheetView>
  </sheetViews>
  <sheetFormatPr baseColWidth="10" defaultRowHeight="14.25" x14ac:dyDescent="0.2"/>
  <cols>
    <col min="1" max="1" width="9.140625" style="4" customWidth="1"/>
    <col min="2" max="2" width="17.140625" style="4" customWidth="1"/>
    <col min="3" max="9" width="12.7109375" style="4" customWidth="1"/>
    <col min="10" max="16384" width="11.42578125" style="4"/>
  </cols>
  <sheetData>
    <row r="1" spans="1:12" x14ac:dyDescent="0.2">
      <c r="A1" s="598" t="s">
        <v>32</v>
      </c>
      <c r="B1" s="598"/>
      <c r="C1" s="597" t="s">
        <v>23</v>
      </c>
      <c r="D1" s="597"/>
      <c r="E1" s="597" t="s">
        <v>1</v>
      </c>
      <c r="F1" s="597"/>
      <c r="G1" s="597"/>
      <c r="H1" s="597"/>
      <c r="I1" s="597"/>
    </row>
    <row r="2" spans="1:12" x14ac:dyDescent="0.2">
      <c r="A2" s="41"/>
      <c r="B2" s="42" t="s">
        <v>2</v>
      </c>
      <c r="C2" s="45">
        <f>TableauxNote!C4</f>
        <v>2021</v>
      </c>
      <c r="D2" s="45">
        <f>TableauxNote!D4</f>
        <v>2022</v>
      </c>
      <c r="E2" s="45" t="str">
        <f>TableauxNote!E4</f>
        <v>2023(p)</v>
      </c>
      <c r="F2" s="45" t="str">
        <f>TableauxNote!F4</f>
        <v>2024(p)</v>
      </c>
      <c r="G2" s="45" t="str">
        <f>TableauxNote!G4</f>
        <v>2025(p)</v>
      </c>
      <c r="H2" s="45" t="str">
        <f>TableauxNote!H4</f>
        <v>2026(p)</v>
      </c>
      <c r="I2" s="45" t="str">
        <f>TableauxNote!I4</f>
        <v>2027(p)</v>
      </c>
      <c r="K2"/>
      <c r="L2"/>
    </row>
    <row r="3" spans="1:12" s="9" customFormat="1" x14ac:dyDescent="0.2">
      <c r="A3" s="43"/>
      <c r="B3" s="43" t="s">
        <v>3</v>
      </c>
      <c r="C3" s="55">
        <f>TableauxNote!C5</f>
        <v>5880.6084375599994</v>
      </c>
      <c r="D3" s="55">
        <f>TableauxNote!D5</f>
        <v>6106.6009445300006</v>
      </c>
      <c r="E3" s="55">
        <f>TableauxNote!E5</f>
        <v>6010.9027175750416</v>
      </c>
      <c r="F3" s="55">
        <f>TableauxNote!F5</f>
        <v>6179.0660861673323</v>
      </c>
      <c r="G3" s="55">
        <f>TableauxNote!G5</f>
        <v>6297.9188820518339</v>
      </c>
      <c r="H3" s="55">
        <f>TableauxNote!H5</f>
        <v>6449.1207924532446</v>
      </c>
      <c r="I3" s="55">
        <f>TableauxNote!I5</f>
        <v>6588.8795054888024</v>
      </c>
      <c r="K3" s="172" t="s">
        <v>132</v>
      </c>
    </row>
    <row r="4" spans="1:12" s="9" customFormat="1" x14ac:dyDescent="0.2">
      <c r="A4" s="43"/>
      <c r="B4" s="43" t="s">
        <v>33</v>
      </c>
      <c r="C4" s="55">
        <f>TableauxNote!C6</f>
        <v>725.69352690000005</v>
      </c>
      <c r="D4" s="55">
        <f>TableauxNote!D6</f>
        <v>740.97023516000002</v>
      </c>
      <c r="E4" s="55">
        <f>TableauxNote!E6</f>
        <v>761.11148401653543</v>
      </c>
      <c r="F4" s="55">
        <f>TableauxNote!F6</f>
        <v>783.88047217580879</v>
      </c>
      <c r="G4" s="55">
        <f>TableauxNote!G6</f>
        <v>807.88235513572079</v>
      </c>
      <c r="H4" s="55">
        <f>TableauxNote!H6</f>
        <v>833.47314352417618</v>
      </c>
      <c r="I4" s="55">
        <f>TableauxNote!I6</f>
        <v>861.39954133256526</v>
      </c>
    </row>
    <row r="5" spans="1:12" s="9" customFormat="1" x14ac:dyDescent="0.2">
      <c r="A5" s="43"/>
      <c r="B5" s="43" t="s">
        <v>5</v>
      </c>
      <c r="C5" s="55">
        <f>TableauxNote!C7</f>
        <v>953.31687942999997</v>
      </c>
      <c r="D5" s="55">
        <f>TableauxNote!D7</f>
        <v>1023.51358857</v>
      </c>
      <c r="E5" s="55">
        <f>TableauxNote!E7</f>
        <v>1023.2470491617455</v>
      </c>
      <c r="F5" s="55">
        <f>TableauxNote!F7</f>
        <v>1007.4754968821379</v>
      </c>
      <c r="G5" s="55">
        <f>TableauxNote!G7</f>
        <v>1019.235875343388</v>
      </c>
      <c r="H5" s="55">
        <f>TableauxNote!H7</f>
        <v>1030.2775893922976</v>
      </c>
      <c r="I5" s="55">
        <f>TableauxNote!I7</f>
        <v>1040.5134163048506</v>
      </c>
    </row>
    <row r="6" spans="1:12" s="9" customFormat="1" x14ac:dyDescent="0.2">
      <c r="A6" s="43"/>
      <c r="B6" s="43" t="s">
        <v>4</v>
      </c>
      <c r="C6" s="55">
        <f>TableauxNote!C8</f>
        <v>6805.3324983500024</v>
      </c>
      <c r="D6" s="55">
        <f>TableauxNote!D8</f>
        <v>6893.7466213700009</v>
      </c>
      <c r="E6" s="213">
        <f>TableauxNote!E8</f>
        <v>7191.9539999999997</v>
      </c>
      <c r="F6" s="213">
        <f>TableauxNote!F8</f>
        <v>7472.6660000000002</v>
      </c>
      <c r="G6" s="213">
        <f>TableauxNote!G8</f>
        <v>7771.5389999999998</v>
      </c>
      <c r="H6" s="213">
        <f>TableauxNote!H8</f>
        <v>8013.1310000000003</v>
      </c>
      <c r="I6" s="213">
        <f>TableauxNote!I8</f>
        <v>8262.7440000000006</v>
      </c>
      <c r="J6" s="412"/>
    </row>
    <row r="7" spans="1:12" s="9" customFormat="1" x14ac:dyDescent="0.2">
      <c r="A7" s="43"/>
      <c r="B7" s="395" t="s">
        <v>244</v>
      </c>
      <c r="C7" s="55">
        <f>TableauxNote!C9</f>
        <v>679.87717814999996</v>
      </c>
      <c r="D7" s="55">
        <f>TableauxNote!D9</f>
        <v>697.76044102999992</v>
      </c>
      <c r="E7" s="213">
        <f>TableauxNote!E9</f>
        <v>711.15579867837289</v>
      </c>
      <c r="F7" s="213">
        <f>TableauxNote!F9</f>
        <v>745.92930829009288</v>
      </c>
      <c r="G7" s="213">
        <f>TableauxNote!G9</f>
        <v>758.59290006477045</v>
      </c>
      <c r="H7" s="213">
        <f>TableauxNote!H9</f>
        <v>766.58572842800152</v>
      </c>
      <c r="I7" s="213">
        <f>TableauxNote!I9</f>
        <v>772.11149670579823</v>
      </c>
    </row>
    <row r="8" spans="1:12" x14ac:dyDescent="0.2">
      <c r="A8" s="44" t="s">
        <v>20</v>
      </c>
      <c r="B8" s="44"/>
      <c r="C8" s="56">
        <f>SUM(C3:C7)</f>
        <v>15044.828520390001</v>
      </c>
      <c r="D8" s="56">
        <f t="shared" ref="D8:I8" si="0">SUM(D3:D7)</f>
        <v>15462.591830660002</v>
      </c>
      <c r="E8" s="56">
        <f t="shared" si="0"/>
        <v>15698.371049431697</v>
      </c>
      <c r="F8" s="56">
        <f t="shared" si="0"/>
        <v>16189.017363515371</v>
      </c>
      <c r="G8" s="56">
        <f t="shared" si="0"/>
        <v>16655.169012595714</v>
      </c>
      <c r="H8" s="56">
        <f t="shared" si="0"/>
        <v>17092.588253797723</v>
      </c>
      <c r="I8" s="56">
        <f t="shared" si="0"/>
        <v>17525.647959832018</v>
      </c>
    </row>
    <row r="9" spans="1:12" s="9" customFormat="1" x14ac:dyDescent="0.2">
      <c r="A9" s="43"/>
      <c r="B9" s="43" t="s">
        <v>7</v>
      </c>
      <c r="C9" s="55">
        <f>TableauxNote!C11</f>
        <v>5880.6084375599994</v>
      </c>
      <c r="D9" s="55">
        <f>TableauxNote!D11</f>
        <v>6106.6009445300006</v>
      </c>
      <c r="E9" s="55">
        <f>TableauxNote!E11</f>
        <v>6010.9027175750416</v>
      </c>
      <c r="F9" s="55">
        <f>TableauxNote!F11</f>
        <v>6179.0660861673314</v>
      </c>
      <c r="G9" s="55">
        <f>TableauxNote!G11</f>
        <v>6297.9188820518339</v>
      </c>
      <c r="H9" s="55">
        <f>TableauxNote!H11</f>
        <v>6449.1207924532446</v>
      </c>
      <c r="I9" s="55">
        <f>TableauxNote!I11</f>
        <v>6588.8795054888024</v>
      </c>
    </row>
    <row r="10" spans="1:12" s="9" customFormat="1" x14ac:dyDescent="0.2">
      <c r="A10" s="43"/>
      <c r="B10" s="43" t="s">
        <v>34</v>
      </c>
      <c r="C10" s="55">
        <f>TableauxNote!C12</f>
        <v>756.7026449199999</v>
      </c>
      <c r="D10" s="55">
        <f>TableauxNote!D12</f>
        <v>800.57428067000001</v>
      </c>
      <c r="E10" s="55">
        <f>TableauxNote!E12</f>
        <v>820.67185719756139</v>
      </c>
      <c r="F10" s="55">
        <f>TableauxNote!F12</f>
        <v>841.1540094977621</v>
      </c>
      <c r="G10" s="55">
        <f>TableauxNote!G12</f>
        <v>859.45166289037661</v>
      </c>
      <c r="H10" s="55">
        <f>TableauxNote!H12</f>
        <v>876.21156777978058</v>
      </c>
      <c r="I10" s="55">
        <f>TableauxNote!I12</f>
        <v>893.43193698711866</v>
      </c>
    </row>
    <row r="11" spans="1:12" s="9" customFormat="1" x14ac:dyDescent="0.2">
      <c r="A11" s="43"/>
      <c r="B11" s="43" t="s">
        <v>9</v>
      </c>
      <c r="C11" s="55">
        <f>TableauxNote!C13</f>
        <v>953.31687942999986</v>
      </c>
      <c r="D11" s="55">
        <f>TableauxNote!D13</f>
        <v>1023.5135885699997</v>
      </c>
      <c r="E11" s="55">
        <f>TableauxNote!E13</f>
        <v>1023.2470491617455</v>
      </c>
      <c r="F11" s="55">
        <f>TableauxNote!F13</f>
        <v>1007.4754968821378</v>
      </c>
      <c r="G11" s="55">
        <f>TableauxNote!G13</f>
        <v>1019.2358753433879</v>
      </c>
      <c r="H11" s="55">
        <f>TableauxNote!H13</f>
        <v>1030.2775893922976</v>
      </c>
      <c r="I11" s="55">
        <f>TableauxNote!I13</f>
        <v>1040.5134163048506</v>
      </c>
    </row>
    <row r="12" spans="1:12" s="9" customFormat="1" x14ac:dyDescent="0.2">
      <c r="A12" s="43"/>
      <c r="B12" s="43" t="s">
        <v>8</v>
      </c>
      <c r="C12" s="55">
        <f>TableauxNote!C14</f>
        <v>6805.3324983500006</v>
      </c>
      <c r="D12" s="55">
        <f>TableauxNote!D14</f>
        <v>6893.7466213700009</v>
      </c>
      <c r="E12" s="213">
        <f>TableauxNote!E14</f>
        <v>7191.9539999999997</v>
      </c>
      <c r="F12" s="213">
        <f>TableauxNote!F14</f>
        <v>7472.6660000000002</v>
      </c>
      <c r="G12" s="213">
        <f>TableauxNote!G14</f>
        <v>7771.5389999999998</v>
      </c>
      <c r="H12" s="213">
        <f>TableauxNote!H14</f>
        <v>8013.1310000000003</v>
      </c>
      <c r="I12" s="213">
        <f>TableauxNote!I14</f>
        <v>8262.7440000000006</v>
      </c>
    </row>
    <row r="13" spans="1:12" s="9" customFormat="1" x14ac:dyDescent="0.2">
      <c r="A13" s="43"/>
      <c r="B13" s="395" t="s">
        <v>257</v>
      </c>
      <c r="C13" s="55">
        <f>TableauxNote!C15</f>
        <v>679.87717815000008</v>
      </c>
      <c r="D13" s="55">
        <f>TableauxNote!D15</f>
        <v>697.76044103000015</v>
      </c>
      <c r="E13" s="213">
        <f>TableauxNote!E15</f>
        <v>711.15579867837289</v>
      </c>
      <c r="F13" s="213">
        <f>TableauxNote!F15</f>
        <v>745.92930829009288</v>
      </c>
      <c r="G13" s="213">
        <f>TableauxNote!G15</f>
        <v>758.59290006477045</v>
      </c>
      <c r="H13" s="213">
        <f>TableauxNote!H15</f>
        <v>766.58572842800152</v>
      </c>
      <c r="I13" s="213">
        <f>TableauxNote!I15</f>
        <v>772.11149670579834</v>
      </c>
    </row>
    <row r="14" spans="1:12" x14ac:dyDescent="0.2">
      <c r="A14" s="44" t="s">
        <v>10</v>
      </c>
      <c r="B14" s="44"/>
      <c r="C14" s="56">
        <f>SUM(C9:C13)</f>
        <v>15075.837638410001</v>
      </c>
      <c r="D14" s="56">
        <f t="shared" ref="D14:I14" si="1">SUM(D9:D13)</f>
        <v>15522.195876170003</v>
      </c>
      <c r="E14" s="56">
        <f t="shared" si="1"/>
        <v>15757.931422612723</v>
      </c>
      <c r="F14" s="56">
        <f t="shared" si="1"/>
        <v>16246.290900837324</v>
      </c>
      <c r="G14" s="56">
        <f t="shared" si="1"/>
        <v>16706.73832035037</v>
      </c>
      <c r="H14" s="56">
        <f t="shared" si="1"/>
        <v>17135.326678053327</v>
      </c>
      <c r="I14" s="56">
        <f t="shared" si="1"/>
        <v>17557.680355486573</v>
      </c>
    </row>
    <row r="15" spans="1:12" s="15" customFormat="1" ht="15" x14ac:dyDescent="0.25">
      <c r="A15" s="583" t="s">
        <v>11</v>
      </c>
      <c r="B15" s="583"/>
      <c r="C15" s="53">
        <f t="shared" ref="C15:I15" si="2">C14-C8</f>
        <v>31.009118019999732</v>
      </c>
      <c r="D15" s="53">
        <f t="shared" si="2"/>
        <v>59.604045510001015</v>
      </c>
      <c r="E15" s="53">
        <f t="shared" si="2"/>
        <v>59.56037318102608</v>
      </c>
      <c r="F15" s="53">
        <f t="shared" si="2"/>
        <v>57.273537321952972</v>
      </c>
      <c r="G15" s="53">
        <f t="shared" si="2"/>
        <v>51.56930775465662</v>
      </c>
      <c r="H15" s="53">
        <f t="shared" si="2"/>
        <v>42.738424255603604</v>
      </c>
      <c r="I15" s="53">
        <f t="shared" si="2"/>
        <v>32.032395654554421</v>
      </c>
    </row>
    <row r="16" spans="1:12" x14ac:dyDescent="0.2">
      <c r="C16" s="130" t="b">
        <f>C15='RESULTAT NET'!B11</f>
        <v>1</v>
      </c>
      <c r="D16" s="130" t="b">
        <f>D15='RESULTAT NET'!C11</f>
        <v>1</v>
      </c>
      <c r="E16" s="130" t="b">
        <f>E15='RESULTAT NET'!D11</f>
        <v>1</v>
      </c>
      <c r="F16" s="130" t="b">
        <f>F15='RESULTAT NET'!E11</f>
        <v>1</v>
      </c>
      <c r="G16" s="130" t="b">
        <f>G15='RESULTAT NET'!F11</f>
        <v>1</v>
      </c>
      <c r="H16" s="130" t="b">
        <f>H15='RESULTAT NET'!G11</f>
        <v>1</v>
      </c>
      <c r="I16" s="130" t="b">
        <f>I15='RESULTAT NET'!H11</f>
        <v>1</v>
      </c>
    </row>
    <row r="18" spans="1:12" x14ac:dyDescent="0.2">
      <c r="A18" s="598" t="s">
        <v>32</v>
      </c>
      <c r="B18" s="598"/>
      <c r="C18" s="46" t="s">
        <v>23</v>
      </c>
      <c r="D18" s="596" t="s">
        <v>1</v>
      </c>
      <c r="E18" s="596"/>
      <c r="F18" s="596"/>
      <c r="G18" s="596"/>
      <c r="H18" s="596"/>
    </row>
    <row r="19" spans="1:12" x14ac:dyDescent="0.2">
      <c r="A19" s="41"/>
      <c r="B19" s="42" t="s">
        <v>0</v>
      </c>
      <c r="C19" s="46" t="str">
        <f>TableauxNote!C23</f>
        <v>2022/2021</v>
      </c>
      <c r="D19" s="189" t="str">
        <f>TableauxNote!D23</f>
        <v>2023/2022</v>
      </c>
      <c r="E19" s="189" t="str">
        <f>TableauxNote!E23</f>
        <v>2024/2023</v>
      </c>
      <c r="F19" s="189" t="str">
        <f>TableauxNote!F23</f>
        <v>2025/2024</v>
      </c>
      <c r="G19" s="189" t="str">
        <f>TableauxNote!G23</f>
        <v>2026/2025</v>
      </c>
      <c r="H19" s="189" t="str">
        <f>TableauxNote!H23</f>
        <v>2027/2026</v>
      </c>
    </row>
    <row r="20" spans="1:12" s="9" customFormat="1" x14ac:dyDescent="0.2">
      <c r="A20" s="47"/>
      <c r="B20" s="43" t="s">
        <v>3</v>
      </c>
      <c r="C20" s="48">
        <f>TableauxNote!C24</f>
        <v>3.8430123238025082E-2</v>
      </c>
      <c r="D20" s="48">
        <f>TableauxNote!D24</f>
        <v>-1.5671275693998066E-2</v>
      </c>
      <c r="E20" s="48">
        <f>TableauxNote!E24</f>
        <v>2.7976391649228383E-2</v>
      </c>
      <c r="F20" s="48">
        <f>TableauxNote!F24</f>
        <v>1.9234750725610317E-2</v>
      </c>
      <c r="G20" s="48">
        <f>TableauxNote!G24</f>
        <v>2.4008234026690056E-2</v>
      </c>
      <c r="H20" s="48">
        <f>TableauxNote!H24</f>
        <v>2.1670971522056659E-2</v>
      </c>
    </row>
    <row r="21" spans="1:12" s="9" customFormat="1" x14ac:dyDescent="0.2">
      <c r="A21" s="47"/>
      <c r="B21" s="43" t="s">
        <v>33</v>
      </c>
      <c r="C21" s="48">
        <f>TableauxNote!C25</f>
        <v>2.1051184410116885E-2</v>
      </c>
      <c r="D21" s="48">
        <f>TableauxNote!D25</f>
        <v>2.7182264416041324E-2</v>
      </c>
      <c r="E21" s="48">
        <f>TableauxNote!E25</f>
        <v>2.9915444238361566E-2</v>
      </c>
      <c r="F21" s="48">
        <f>TableauxNote!F25</f>
        <v>3.0619314821416888E-2</v>
      </c>
      <c r="G21" s="48">
        <f>TableauxNote!G25</f>
        <v>3.1676379890926309E-2</v>
      </c>
      <c r="H21" s="48">
        <f>TableauxNote!H25</f>
        <v>3.3506055984368954E-2</v>
      </c>
    </row>
    <row r="22" spans="1:12" s="9" customFormat="1" x14ac:dyDescent="0.2">
      <c r="A22" s="47"/>
      <c r="B22" s="43" t="s">
        <v>5</v>
      </c>
      <c r="C22" s="48">
        <f>TableauxNote!C26</f>
        <v>7.3634182562645423E-2</v>
      </c>
      <c r="D22" s="48">
        <f>TableauxNote!D26</f>
        <v>-2.6041609142379851E-4</v>
      </c>
      <c r="E22" s="48">
        <f>TableauxNote!E26</f>
        <v>-1.5413239933140144E-2</v>
      </c>
      <c r="F22" s="48">
        <f>TableauxNote!F26</f>
        <v>1.1673116118104288E-2</v>
      </c>
      <c r="G22" s="48">
        <f>TableauxNote!G26</f>
        <v>1.0833325549092887E-2</v>
      </c>
      <c r="H22" s="48">
        <f>TableauxNote!H26</f>
        <v>9.9350185017519355E-3</v>
      </c>
    </row>
    <row r="23" spans="1:12" s="9" customFormat="1" x14ac:dyDescent="0.2">
      <c r="A23" s="47"/>
      <c r="B23" s="43" t="s">
        <v>4</v>
      </c>
      <c r="C23" s="48">
        <f>TableauxNote!C27</f>
        <v>1.299188879330071E-2</v>
      </c>
      <c r="D23" s="48">
        <f>TableauxNote!D27</f>
        <v>4.3257664519549044E-2</v>
      </c>
      <c r="E23" s="48">
        <f>TableauxNote!E27</f>
        <v>3.9031395362094878E-2</v>
      </c>
      <c r="F23" s="48">
        <f>TableauxNote!F27</f>
        <v>3.9995498259924878E-2</v>
      </c>
      <c r="G23" s="48">
        <f>TableauxNote!G27</f>
        <v>3.1086764153149149E-2</v>
      </c>
      <c r="H23" s="48">
        <f>TableauxNote!H27</f>
        <v>3.1150495355685592E-2</v>
      </c>
    </row>
    <row r="24" spans="1:12" s="9" customFormat="1" x14ac:dyDescent="0.2">
      <c r="A24" s="47"/>
      <c r="B24" s="395" t="s">
        <v>244</v>
      </c>
      <c r="C24" s="48">
        <f>TableauxNote!C28</f>
        <v>2.6303666977999907E-2</v>
      </c>
      <c r="D24" s="48">
        <f>TableauxNote!D28</f>
        <v>1.9197645582485823E-2</v>
      </c>
      <c r="E24" s="48">
        <f>TableauxNote!E28</f>
        <v>4.8897175100510726E-2</v>
      </c>
      <c r="F24" s="48">
        <f>TableauxNote!F28</f>
        <v>1.6976932845964354E-2</v>
      </c>
      <c r="G24" s="48">
        <f>TableauxNote!G28</f>
        <v>1.0536386990372071E-2</v>
      </c>
      <c r="H24" s="48">
        <f>TableauxNote!H28</f>
        <v>7.2082848308800962E-3</v>
      </c>
    </row>
    <row r="25" spans="1:12" s="9" customFormat="1" ht="15" x14ac:dyDescent="0.25">
      <c r="A25" s="44" t="s">
        <v>20</v>
      </c>
      <c r="B25" s="44"/>
      <c r="C25" s="49">
        <f>TableauxNote!C29</f>
        <v>2.7767901089986724E-2</v>
      </c>
      <c r="D25" s="402">
        <f>TableauxNote!D29</f>
        <v>1.5248363363260964E-2</v>
      </c>
      <c r="E25" s="49">
        <f>TableauxNote!E29</f>
        <v>3.1254600400175692E-2</v>
      </c>
      <c r="F25" s="49">
        <f>TableauxNote!F29</f>
        <v>2.8794313985411657E-2</v>
      </c>
      <c r="G25" s="49">
        <f>TableauxNote!G29</f>
        <v>2.6263272433393103E-2</v>
      </c>
      <c r="H25" s="49">
        <f>TableauxNote!H29</f>
        <v>2.533611057635321E-2</v>
      </c>
      <c r="I25" s="71"/>
      <c r="K25"/>
      <c r="L25"/>
    </row>
    <row r="26" spans="1:12" s="9" customFormat="1" x14ac:dyDescent="0.2">
      <c r="A26" s="47"/>
      <c r="B26" s="43" t="s">
        <v>7</v>
      </c>
      <c r="C26" s="48">
        <f>TableauxNote!C30</f>
        <v>3.8430123238025082E-2</v>
      </c>
      <c r="D26" s="48">
        <f>TableauxNote!D30</f>
        <v>-1.5671275693998066E-2</v>
      </c>
      <c r="E26" s="48">
        <f>TableauxNote!E30</f>
        <v>2.7976391649228161E-2</v>
      </c>
      <c r="F26" s="48">
        <f>TableauxNote!F30</f>
        <v>1.9234750725610539E-2</v>
      </c>
      <c r="G26" s="48">
        <f>TableauxNote!G30</f>
        <v>2.4008234026690056E-2</v>
      </c>
      <c r="H26" s="48">
        <f>TableauxNote!H30</f>
        <v>2.1670971522056659E-2</v>
      </c>
      <c r="I26" s="4"/>
      <c r="K26" s="172" t="s">
        <v>133</v>
      </c>
    </row>
    <row r="27" spans="1:12" s="9" customFormat="1" x14ac:dyDescent="0.2">
      <c r="A27" s="47"/>
      <c r="B27" s="43" t="s">
        <v>34</v>
      </c>
      <c r="C27" s="48">
        <f>TableauxNote!C31</f>
        <v>5.7977378623591758E-2</v>
      </c>
      <c r="D27" s="48">
        <f>TableauxNote!D31</f>
        <v>2.5103949768086053E-2</v>
      </c>
      <c r="E27" s="48">
        <f>TableauxNote!E31</f>
        <v>2.4957785649118547E-2</v>
      </c>
      <c r="F27" s="48">
        <f>TableauxNote!F31</f>
        <v>2.1753035931600273E-2</v>
      </c>
      <c r="G27" s="48">
        <f>TableauxNote!G31</f>
        <v>1.9500695167706805E-2</v>
      </c>
      <c r="H27" s="48">
        <f>TableauxNote!H31</f>
        <v>1.9653209156976326E-2</v>
      </c>
      <c r="I27" s="4"/>
    </row>
    <row r="28" spans="1:12" s="9" customFormat="1" x14ac:dyDescent="0.2">
      <c r="A28" s="47"/>
      <c r="B28" s="43" t="s">
        <v>9</v>
      </c>
      <c r="C28" s="48">
        <f>TableauxNote!C32</f>
        <v>7.3634182562645201E-2</v>
      </c>
      <c r="D28" s="48">
        <f>TableauxNote!D32</f>
        <v>-2.6041609142346545E-4</v>
      </c>
      <c r="E28" s="48">
        <f>TableauxNote!E32</f>
        <v>-1.5413239933140255E-2</v>
      </c>
      <c r="F28" s="48">
        <f>TableauxNote!F32</f>
        <v>1.1673116118104288E-2</v>
      </c>
      <c r="G28" s="48">
        <f>TableauxNote!G32</f>
        <v>1.0833325549093109E-2</v>
      </c>
      <c r="H28" s="48">
        <f>TableauxNote!H32</f>
        <v>9.9350185017519355E-3</v>
      </c>
      <c r="I28" s="4"/>
    </row>
    <row r="29" spans="1:12" s="9" customFormat="1" x14ac:dyDescent="0.2">
      <c r="A29" s="47"/>
      <c r="B29" s="43" t="s">
        <v>8</v>
      </c>
      <c r="C29" s="48">
        <f>TableauxNote!C33</f>
        <v>1.2991888793300932E-2</v>
      </c>
      <c r="D29" s="48">
        <f>TableauxNote!D33</f>
        <v>4.3257664519549044E-2</v>
      </c>
      <c r="E29" s="48">
        <f>TableauxNote!E33</f>
        <v>3.9031395362094878E-2</v>
      </c>
      <c r="F29" s="48">
        <f>TableauxNote!F33</f>
        <v>3.9995498259924878E-2</v>
      </c>
      <c r="G29" s="48">
        <f>TableauxNote!G33</f>
        <v>3.1086764153149149E-2</v>
      </c>
      <c r="H29" s="48">
        <f>TableauxNote!H33</f>
        <v>3.1150495355685592E-2</v>
      </c>
      <c r="I29" s="4"/>
    </row>
    <row r="30" spans="1:12" s="9" customFormat="1" x14ac:dyDescent="0.2">
      <c r="A30" s="47"/>
      <c r="B30" s="395" t="s">
        <v>245</v>
      </c>
      <c r="C30" s="48">
        <f>TableauxNote!C34</f>
        <v>2.6303666978000129E-2</v>
      </c>
      <c r="D30" s="48">
        <f>TableauxNote!D34</f>
        <v>1.9197645582485601E-2</v>
      </c>
      <c r="E30" s="48">
        <f>TableauxNote!E34</f>
        <v>4.8897175100510726E-2</v>
      </c>
      <c r="F30" s="48">
        <f>TableauxNote!F34</f>
        <v>1.6976932845964354E-2</v>
      </c>
      <c r="G30" s="48">
        <f>TableauxNote!G34</f>
        <v>1.0536386990372071E-2</v>
      </c>
      <c r="H30" s="48">
        <f>TableauxNote!H34</f>
        <v>7.2082848308803182E-3</v>
      </c>
      <c r="I30" s="4"/>
    </row>
    <row r="31" spans="1:12" ht="15" x14ac:dyDescent="0.25">
      <c r="A31" s="44" t="s">
        <v>10</v>
      </c>
      <c r="B31" s="44"/>
      <c r="C31" s="49">
        <f>TableauxNote!C35</f>
        <v>2.9607524866331669E-2</v>
      </c>
      <c r="D31" s="402">
        <f>TableauxNote!D35</f>
        <v>1.5186997273022751E-2</v>
      </c>
      <c r="E31" s="49">
        <f>TableauxNote!E35</f>
        <v>3.0991344303212598E-2</v>
      </c>
      <c r="F31" s="49">
        <f>TableauxNote!F35</f>
        <v>2.8341694871985457E-2</v>
      </c>
      <c r="G31" s="49">
        <f>TableauxNote!G35</f>
        <v>2.5653622477638027E-2</v>
      </c>
      <c r="H31" s="49">
        <f>TableauxNote!H35</f>
        <v>2.4648125207568539E-2</v>
      </c>
    </row>
    <row r="32" spans="1:12" s="15" customFormat="1" ht="15" x14ac:dyDescent="0.25">
      <c r="A32" s="583" t="s">
        <v>11</v>
      </c>
      <c r="B32" s="583"/>
      <c r="C32" s="50">
        <f>TableauxNote!C36</f>
        <v>0.92214578536411818</v>
      </c>
      <c r="D32" s="50">
        <f>TableauxNote!D36</f>
        <v>-7.3270746307996237E-4</v>
      </c>
      <c r="E32" s="50">
        <f>TableauxNote!E36</f>
        <v>-3.839525739911942E-2</v>
      </c>
      <c r="F32" s="50">
        <f>TableauxNote!F36</f>
        <v>-9.9596250450378898E-2</v>
      </c>
      <c r="G32" s="50">
        <f>TableauxNote!G36</f>
        <v>-0.17124301030113409</v>
      </c>
      <c r="H32" s="50">
        <f>TableauxNote!H36</f>
        <v>-0.2505012477067512</v>
      </c>
      <c r="I32" s="26"/>
    </row>
    <row r="33" spans="1:9" x14ac:dyDescent="0.2">
      <c r="C33" s="130" t="b">
        <f>C32='RESULTAT NET'!B25</f>
        <v>1</v>
      </c>
      <c r="D33" s="130" t="b">
        <f>D32='RESULTAT NET'!C25</f>
        <v>1</v>
      </c>
      <c r="E33" s="130" t="b">
        <f>E32='RESULTAT NET'!D25</f>
        <v>1</v>
      </c>
      <c r="F33" s="130" t="b">
        <f>F32='RESULTAT NET'!E25</f>
        <v>1</v>
      </c>
      <c r="G33" s="130" t="b">
        <f>G32='RESULTAT NET'!F25</f>
        <v>1</v>
      </c>
      <c r="H33" s="130" t="b">
        <f>H32='RESULTAT NET'!G25</f>
        <v>1</v>
      </c>
    </row>
    <row r="35" spans="1:9" x14ac:dyDescent="0.2">
      <c r="C35" s="377"/>
      <c r="D35" s="377"/>
      <c r="E35" s="377"/>
      <c r="F35" s="377"/>
      <c r="G35" s="377"/>
      <c r="H35" s="377"/>
      <c r="I35" s="377"/>
    </row>
    <row r="36" spans="1:9" x14ac:dyDescent="0.2">
      <c r="A36" s="5" t="s">
        <v>6</v>
      </c>
      <c r="B36" s="5"/>
      <c r="C36" s="376">
        <f>-C8</f>
        <v>-15044.828520390001</v>
      </c>
      <c r="D36" s="376">
        <f t="shared" ref="D36:I36" si="3">-D8</f>
        <v>-15462.591830660002</v>
      </c>
      <c r="E36" s="376">
        <f t="shared" si="3"/>
        <v>-15698.371049431697</v>
      </c>
      <c r="F36" s="376">
        <f t="shared" si="3"/>
        <v>-16189.017363515371</v>
      </c>
      <c r="G36" s="376">
        <f t="shared" si="3"/>
        <v>-16655.169012595714</v>
      </c>
      <c r="H36" s="376">
        <f t="shared" si="3"/>
        <v>-17092.588253797723</v>
      </c>
      <c r="I36" s="376">
        <f t="shared" si="3"/>
        <v>-17525.647959832018</v>
      </c>
    </row>
    <row r="37" spans="1:9" x14ac:dyDescent="0.2">
      <c r="A37" s="5" t="s">
        <v>10</v>
      </c>
      <c r="B37" s="5"/>
      <c r="C37" s="379">
        <f>C14</f>
        <v>15075.837638410001</v>
      </c>
      <c r="D37" s="379">
        <f t="shared" ref="D37:I37" si="4">D14</f>
        <v>15522.195876170003</v>
      </c>
      <c r="E37" s="379">
        <f t="shared" si="4"/>
        <v>15757.931422612723</v>
      </c>
      <c r="F37" s="379">
        <f t="shared" si="4"/>
        <v>16246.290900837324</v>
      </c>
      <c r="G37" s="379">
        <f t="shared" si="4"/>
        <v>16706.73832035037</v>
      </c>
      <c r="H37" s="379">
        <f t="shared" si="4"/>
        <v>17135.326678053327</v>
      </c>
      <c r="I37" s="379">
        <f t="shared" si="4"/>
        <v>17557.680355486573</v>
      </c>
    </row>
    <row r="38" spans="1:9" x14ac:dyDescent="0.2">
      <c r="B38" s="378"/>
      <c r="C38" s="379"/>
      <c r="D38" s="379"/>
      <c r="E38" s="379"/>
      <c r="F38" s="379"/>
      <c r="G38" s="379"/>
      <c r="H38" s="379"/>
      <c r="I38" s="379"/>
    </row>
    <row r="39" spans="1:9" x14ac:dyDescent="0.2">
      <c r="A39" s="5" t="s">
        <v>6</v>
      </c>
      <c r="B39" s="377"/>
      <c r="C39" s="376">
        <f>-C36</f>
        <v>15044.828520390001</v>
      </c>
      <c r="D39" s="376">
        <f t="shared" ref="D39:I39" si="5">-D36</f>
        <v>15462.591830660002</v>
      </c>
      <c r="E39" s="376">
        <f t="shared" si="5"/>
        <v>15698.371049431697</v>
      </c>
      <c r="F39" s="376">
        <f t="shared" si="5"/>
        <v>16189.017363515371</v>
      </c>
      <c r="G39" s="376">
        <f t="shared" si="5"/>
        <v>16655.169012595714</v>
      </c>
      <c r="H39" s="376">
        <f t="shared" si="5"/>
        <v>17092.588253797723</v>
      </c>
      <c r="I39" s="376">
        <f t="shared" si="5"/>
        <v>17525.647959832018</v>
      </c>
    </row>
    <row r="42" spans="1:9" x14ac:dyDescent="0.2">
      <c r="A42" s="41"/>
      <c r="B42" s="42" t="s">
        <v>2</v>
      </c>
      <c r="C42" s="45">
        <f t="shared" ref="C42:H42" si="6">D2</f>
        <v>2022</v>
      </c>
      <c r="D42" s="45" t="str">
        <f t="shared" si="6"/>
        <v>2023(p)</v>
      </c>
      <c r="E42" s="45" t="str">
        <f t="shared" si="6"/>
        <v>2024(p)</v>
      </c>
      <c r="F42" s="45" t="str">
        <f t="shared" si="6"/>
        <v>2025(p)</v>
      </c>
      <c r="G42" s="45" t="str">
        <f t="shared" si="6"/>
        <v>2026(p)</v>
      </c>
      <c r="H42" s="45" t="str">
        <f t="shared" si="6"/>
        <v>2027(p)</v>
      </c>
    </row>
    <row r="43" spans="1:9" x14ac:dyDescent="0.2">
      <c r="A43" s="43"/>
      <c r="B43" s="43" t="s">
        <v>3</v>
      </c>
      <c r="C43" s="55">
        <f t="shared" ref="C43:D48" si="7">(C3/$D$8)*C20*100</f>
        <v>1.4615435073561966</v>
      </c>
      <c r="D43" s="55">
        <f t="shared" si="7"/>
        <v>-0.6189015916801438</v>
      </c>
      <c r="E43" s="55">
        <f t="shared" ref="E43:E48" si="8">(E3/$E$8)*E20*100</f>
        <v>1.0712154023036573</v>
      </c>
      <c r="F43" s="55">
        <f t="shared" ref="F43:F48" si="9">(F3/$F$8)*F20*100</f>
        <v>0.73415694860118952</v>
      </c>
      <c r="G43" s="55">
        <f t="shared" ref="G43:G48" si="10">(G3/$G$8)*G20*100</f>
        <v>0.90783774266752859</v>
      </c>
      <c r="H43" s="55">
        <f t="shared" ref="H43:H48" si="11">(H3/$H$8)*H20*100</f>
        <v>0.81765681686332903</v>
      </c>
    </row>
    <row r="44" spans="1:9" x14ac:dyDescent="0.2">
      <c r="A44" s="43"/>
      <c r="B44" s="43" t="s">
        <v>78</v>
      </c>
      <c r="C44" s="55">
        <f t="shared" si="7"/>
        <v>9.8797849851462782E-2</v>
      </c>
      <c r="D44" s="55">
        <f t="shared" si="7"/>
        <v>0.13025790939264376</v>
      </c>
      <c r="E44" s="55">
        <f t="shared" si="8"/>
        <v>0.14504045093326773</v>
      </c>
      <c r="F44" s="55">
        <f t="shared" si="9"/>
        <v>0.14826028301139652</v>
      </c>
      <c r="G44" s="55">
        <f t="shared" si="10"/>
        <v>0.15365072770562657</v>
      </c>
      <c r="H44" s="55">
        <f t="shared" si="11"/>
        <v>0.16338308390588061</v>
      </c>
    </row>
    <row r="45" spans="1:9" x14ac:dyDescent="0.2">
      <c r="A45" s="43"/>
      <c r="B45" s="43" t="s">
        <v>5</v>
      </c>
      <c r="C45" s="55">
        <f t="shared" si="7"/>
        <v>0.45397763782919304</v>
      </c>
      <c r="D45" s="55">
        <f t="shared" si="7"/>
        <v>-1.7237692824953028E-3</v>
      </c>
      <c r="E45" s="55">
        <f t="shared" si="8"/>
        <v>-0.10046617085266681</v>
      </c>
      <c r="F45" s="55">
        <f t="shared" si="9"/>
        <v>7.26441772046892E-2</v>
      </c>
      <c r="G45" s="55">
        <f t="shared" si="10"/>
        <v>6.6296019215170504E-2</v>
      </c>
      <c r="H45" s="55">
        <f t="shared" si="11"/>
        <v>5.9884593021063443E-2</v>
      </c>
    </row>
    <row r="46" spans="1:9" x14ac:dyDescent="0.2">
      <c r="A46" s="43"/>
      <c r="B46" s="43" t="s">
        <v>4</v>
      </c>
      <c r="C46" s="55">
        <f t="shared" si="7"/>
        <v>0.57179368108706441</v>
      </c>
      <c r="D46" s="55">
        <f t="shared" si="7"/>
        <v>1.928573048398637</v>
      </c>
      <c r="E46" s="55">
        <f t="shared" si="8"/>
        <v>1.7881600525053321</v>
      </c>
      <c r="F46" s="55">
        <f t="shared" si="9"/>
        <v>1.8461466393479786</v>
      </c>
      <c r="G46" s="55">
        <f t="shared" si="10"/>
        <v>1.4505526771736337</v>
      </c>
      <c r="H46" s="55">
        <f t="shared" si="11"/>
        <v>1.4603581171771332</v>
      </c>
    </row>
    <row r="47" spans="1:9" x14ac:dyDescent="0.2">
      <c r="A47" s="43"/>
      <c r="B47" s="43" t="str">
        <f>B24</f>
        <v>Charges SASPA</v>
      </c>
      <c r="C47" s="55">
        <f t="shared" si="7"/>
        <v>0.11565501486329145</v>
      </c>
      <c r="D47" s="55">
        <f t="shared" si="7"/>
        <v>8.6630739497449261E-2</v>
      </c>
      <c r="E47" s="55">
        <f t="shared" si="8"/>
        <v>0.22151030512798847</v>
      </c>
      <c r="F47" s="55">
        <f t="shared" si="9"/>
        <v>7.8223350375897713E-2</v>
      </c>
      <c r="G47" s="55">
        <f t="shared" si="10"/>
        <v>4.79900765773459E-2</v>
      </c>
      <c r="H47" s="55">
        <f t="shared" si="11"/>
        <v>3.2328446667923373E-2</v>
      </c>
    </row>
    <row r="48" spans="1:9" ht="15" x14ac:dyDescent="0.2">
      <c r="A48" s="96" t="s">
        <v>20</v>
      </c>
      <c r="B48" s="96"/>
      <c r="C48" s="53">
        <f t="shared" si="7"/>
        <v>2.7017676909872179</v>
      </c>
      <c r="D48" s="53">
        <f t="shared" si="7"/>
        <v>1.5248363363260964</v>
      </c>
      <c r="E48" s="53">
        <f t="shared" si="8"/>
        <v>3.1254600400175692</v>
      </c>
      <c r="F48" s="53">
        <f t="shared" si="9"/>
        <v>2.8794313985411657</v>
      </c>
      <c r="G48" s="53">
        <f t="shared" si="10"/>
        <v>2.6263272433393103</v>
      </c>
      <c r="H48" s="53">
        <f t="shared" si="11"/>
        <v>2.533611057635321</v>
      </c>
    </row>
    <row r="49" spans="1:8" x14ac:dyDescent="0.2">
      <c r="A49" s="43"/>
      <c r="B49" s="43" t="s">
        <v>7</v>
      </c>
      <c r="C49" s="55">
        <f t="shared" ref="C49:D54" si="12">(C9/$D$14)*C26*100</f>
        <v>1.455931292021313</v>
      </c>
      <c r="D49" s="55">
        <f t="shared" si="12"/>
        <v>-0.61652505688242565</v>
      </c>
      <c r="E49" s="55">
        <f t="shared" ref="E49:E54" si="13">(E9/$E$14)*E26*100</f>
        <v>1.0671665213047816</v>
      </c>
      <c r="F49" s="55">
        <f t="shared" ref="F49:F54" si="14">(F9/$F$14)*F26*100</f>
        <v>0.73156880305754557</v>
      </c>
      <c r="G49" s="55">
        <f t="shared" ref="G49:G54" si="15">(G9/$G$14)*G26*100</f>
        <v>0.90503548629377017</v>
      </c>
      <c r="H49" s="55">
        <f t="shared" ref="H49:H54" si="16">(H9/$H$14)*H26*100</f>
        <v>0.81561744144953252</v>
      </c>
    </row>
    <row r="50" spans="1:8" x14ac:dyDescent="0.2">
      <c r="A50" s="43"/>
      <c r="B50" s="43" t="s">
        <v>79</v>
      </c>
      <c r="C50" s="55">
        <f t="shared" si="12"/>
        <v>0.28263807582374856</v>
      </c>
      <c r="D50" s="55">
        <f t="shared" si="12"/>
        <v>0.12947637491429628</v>
      </c>
      <c r="E50" s="55">
        <f t="shared" si="13"/>
        <v>0.1299799558132913</v>
      </c>
      <c r="F50" s="55">
        <f t="shared" si="14"/>
        <v>0.1126266512418007</v>
      </c>
      <c r="G50" s="55">
        <f t="shared" si="15"/>
        <v>0.10031823428388059</v>
      </c>
      <c r="H50" s="55">
        <f t="shared" si="16"/>
        <v>0.10049629943381097</v>
      </c>
    </row>
    <row r="51" spans="1:8" x14ac:dyDescent="0.2">
      <c r="A51" s="43"/>
      <c r="B51" s="43" t="s">
        <v>9</v>
      </c>
      <c r="C51" s="55">
        <f t="shared" si="12"/>
        <v>0.45223439840600954</v>
      </c>
      <c r="D51" s="55">
        <f t="shared" si="12"/>
        <v>-1.7171501402285555E-3</v>
      </c>
      <c r="E51" s="55">
        <f t="shared" si="13"/>
        <v>-0.10008643810300809</v>
      </c>
      <c r="F51" s="55">
        <f t="shared" si="14"/>
        <v>7.2388082504689644E-2</v>
      </c>
      <c r="G51" s="55">
        <f t="shared" si="15"/>
        <v>6.6091380837993749E-2</v>
      </c>
      <c r="H51" s="55">
        <f t="shared" si="16"/>
        <v>5.973523064291944E-2</v>
      </c>
    </row>
    <row r="52" spans="1:8" x14ac:dyDescent="0.2">
      <c r="A52" s="43"/>
      <c r="B52" s="43" t="s">
        <v>8</v>
      </c>
      <c r="C52" s="55">
        <f t="shared" si="12"/>
        <v>0.56959803706468615</v>
      </c>
      <c r="D52" s="55">
        <f t="shared" si="12"/>
        <v>1.9211674753300361</v>
      </c>
      <c r="E52" s="55">
        <f t="shared" si="13"/>
        <v>1.781401330362286</v>
      </c>
      <c r="F52" s="55">
        <f t="shared" si="14"/>
        <v>1.8396383631453752</v>
      </c>
      <c r="G52" s="55">
        <f t="shared" si="15"/>
        <v>1.4460752025170522</v>
      </c>
      <c r="H52" s="55">
        <f t="shared" si="16"/>
        <v>1.4567157352167723</v>
      </c>
    </row>
    <row r="53" spans="1:8" x14ac:dyDescent="0.2">
      <c r="A53" s="43"/>
      <c r="B53" s="43" t="str">
        <f>B30</f>
        <v>Produits SASPA</v>
      </c>
      <c r="C53" s="55">
        <f t="shared" si="12"/>
        <v>0.11521090844791376</v>
      </c>
      <c r="D53" s="55">
        <f t="shared" si="12"/>
        <v>8.6298084080601106E-2</v>
      </c>
      <c r="E53" s="55">
        <f t="shared" si="13"/>
        <v>0.2206730609438988</v>
      </c>
      <c r="F53" s="55">
        <f t="shared" si="14"/>
        <v>7.7947587249129424E-2</v>
      </c>
      <c r="G53" s="55">
        <f t="shared" si="15"/>
        <v>4.7841943831101102E-2</v>
      </c>
      <c r="H53" s="55">
        <f t="shared" si="16"/>
        <v>3.2247814013807073E-2</v>
      </c>
    </row>
    <row r="54" spans="1:8" ht="15" x14ac:dyDescent="0.2">
      <c r="A54" s="96" t="s">
        <v>10</v>
      </c>
      <c r="B54" s="96"/>
      <c r="C54" s="53">
        <f t="shared" si="12"/>
        <v>2.8756127117636843</v>
      </c>
      <c r="D54" s="53">
        <f t="shared" si="12"/>
        <v>1.5186997273022751</v>
      </c>
      <c r="E54" s="53">
        <f t="shared" si="13"/>
        <v>3.0991344303212598</v>
      </c>
      <c r="F54" s="53">
        <f t="shared" si="14"/>
        <v>2.8341694871985457</v>
      </c>
      <c r="G54" s="53">
        <f t="shared" si="15"/>
        <v>2.5653622477638027</v>
      </c>
      <c r="H54" s="53">
        <f t="shared" si="16"/>
        <v>2.4648125207568539</v>
      </c>
    </row>
  </sheetData>
  <mergeCells count="7">
    <mergeCell ref="D18:H18"/>
    <mergeCell ref="E1:I1"/>
    <mergeCell ref="A15:B15"/>
    <mergeCell ref="A32:B32"/>
    <mergeCell ref="C1:D1"/>
    <mergeCell ref="A1:B1"/>
    <mergeCell ref="A18:B18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A1:P62"/>
  <sheetViews>
    <sheetView zoomScale="80" zoomScaleNormal="80" workbookViewId="0">
      <selection sqref="A1:B1"/>
    </sheetView>
  </sheetViews>
  <sheetFormatPr baseColWidth="10" defaultRowHeight="14.25" x14ac:dyDescent="0.2"/>
  <cols>
    <col min="1" max="1" width="16.42578125" style="4" customWidth="1"/>
    <col min="2" max="2" width="21" style="4" bestFit="1" customWidth="1"/>
    <col min="3" max="3" width="11.5703125" style="4" customWidth="1"/>
    <col min="4" max="10" width="12.7109375" style="4" customWidth="1"/>
    <col min="11" max="11" width="14.140625" style="4" bestFit="1" customWidth="1"/>
    <col min="12" max="16384" width="11.42578125" style="4"/>
  </cols>
  <sheetData>
    <row r="1" spans="1:16" x14ac:dyDescent="0.2">
      <c r="A1" s="599" t="s">
        <v>37</v>
      </c>
      <c r="B1" s="600"/>
      <c r="D1" s="602"/>
      <c r="E1" s="603"/>
      <c r="F1" s="601" t="s">
        <v>1</v>
      </c>
      <c r="G1" s="602"/>
      <c r="H1" s="602"/>
      <c r="I1" s="602"/>
      <c r="J1" s="603"/>
      <c r="L1"/>
    </row>
    <row r="2" spans="1:16" x14ac:dyDescent="0.2">
      <c r="A2" s="1"/>
      <c r="B2" s="2" t="s">
        <v>2</v>
      </c>
      <c r="C2" s="173"/>
      <c r="D2" s="3">
        <f>TableauxNote!C4</f>
        <v>2021</v>
      </c>
      <c r="E2" s="3">
        <f>TableauxNote!D4</f>
        <v>2022</v>
      </c>
      <c r="F2" s="3" t="str">
        <f>TableauxNote!E4</f>
        <v>2023(p)</v>
      </c>
      <c r="G2" s="3" t="str">
        <f>TableauxNote!F4</f>
        <v>2024(p)</v>
      </c>
      <c r="H2" s="3" t="str">
        <f>TableauxNote!G4</f>
        <v>2025(p)</v>
      </c>
      <c r="I2" s="3" t="str">
        <f>TableauxNote!H4</f>
        <v>2026(p)</v>
      </c>
      <c r="J2" s="3" t="str">
        <f>TableauxNote!I4</f>
        <v>2027(p)</v>
      </c>
      <c r="K2" s="403" t="s">
        <v>260</v>
      </c>
      <c r="L2"/>
    </row>
    <row r="3" spans="1:16" s="9" customFormat="1" ht="12.75" x14ac:dyDescent="0.2">
      <c r="A3" s="7"/>
      <c r="B3" s="8" t="s">
        <v>12</v>
      </c>
      <c r="C3"/>
      <c r="D3" s="51">
        <f>TableauxNote!C42</f>
        <v>4816.3181431499997</v>
      </c>
      <c r="E3" s="382">
        <f>TableauxNote!D42</f>
        <v>5028.3106068300012</v>
      </c>
      <c r="F3" s="382">
        <f>TableauxNote!E42</f>
        <v>5006.9183053414354</v>
      </c>
      <c r="G3" s="382">
        <f>TableauxNote!F42</f>
        <v>5160.1935131845348</v>
      </c>
      <c r="H3" s="382">
        <f>TableauxNote!G42</f>
        <v>5265.8427525041006</v>
      </c>
      <c r="I3" s="382">
        <f>TableauxNote!H42</f>
        <v>5400.2291665831508</v>
      </c>
      <c r="J3" s="348">
        <f>TableauxNote!I42</f>
        <v>5521.8060313409705</v>
      </c>
      <c r="K3" s="349">
        <f t="shared" ref="K3:K8" si="0">E3/$E$8</f>
        <v>0.37114448313382342</v>
      </c>
      <c r="L3"/>
    </row>
    <row r="4" spans="1:16" s="9" customFormat="1" ht="12.75" x14ac:dyDescent="0.2">
      <c r="A4" s="12"/>
      <c r="B4" s="13" t="s">
        <v>35</v>
      </c>
      <c r="C4" s="174"/>
      <c r="D4" s="51">
        <f>TableauxNote!C43</f>
        <v>572.89877344000001</v>
      </c>
      <c r="E4" s="382">
        <f>TableauxNote!D43</f>
        <v>593.00804479999999</v>
      </c>
      <c r="F4" s="382">
        <f>TableauxNote!E43</f>
        <v>610.62865056862461</v>
      </c>
      <c r="G4" s="382">
        <f>TableauxNote!F43</f>
        <v>630.76275275251385</v>
      </c>
      <c r="H4" s="382">
        <f>TableauxNote!G43</f>
        <v>652.45714843704798</v>
      </c>
      <c r="I4" s="382">
        <f>TableauxNote!H43</f>
        <v>675.71493869885376</v>
      </c>
      <c r="J4" s="382">
        <f>TableauxNote!I43</f>
        <v>701.12294742119911</v>
      </c>
      <c r="K4" s="349">
        <f t="shared" si="0"/>
        <v>4.3770498978830515E-2</v>
      </c>
      <c r="L4"/>
    </row>
    <row r="5" spans="1:16" s="9" customFormat="1" ht="12.75" x14ac:dyDescent="0.2">
      <c r="A5" s="10"/>
      <c r="B5" s="11" t="s">
        <v>14</v>
      </c>
      <c r="C5" s="174"/>
      <c r="D5" s="51">
        <f>TableauxNote!C44</f>
        <v>688.32126192999999</v>
      </c>
      <c r="E5" s="382">
        <f>TableauxNote!D44</f>
        <v>771.56760064000002</v>
      </c>
      <c r="F5" s="382">
        <f>TableauxNote!E44</f>
        <v>772.44554976732979</v>
      </c>
      <c r="G5" s="382">
        <f>TableauxNote!F44</f>
        <v>758.25077616096019</v>
      </c>
      <c r="H5" s="382">
        <f>TableauxNote!G44</f>
        <v>772.22755553242428</v>
      </c>
      <c r="I5" s="382">
        <f>TableauxNote!H44</f>
        <v>785.40364681704477</v>
      </c>
      <c r="J5" s="382">
        <f>TableauxNote!I44</f>
        <v>797.74773963515293</v>
      </c>
      <c r="K5" s="349">
        <f t="shared" si="0"/>
        <v>5.6950152990423365E-2</v>
      </c>
      <c r="L5"/>
    </row>
    <row r="6" spans="1:16" s="9" customFormat="1" ht="12.75" x14ac:dyDescent="0.2">
      <c r="A6" s="10"/>
      <c r="B6" s="11" t="s">
        <v>13</v>
      </c>
      <c r="C6" s="174"/>
      <c r="D6" s="51">
        <f>TableauxNote!C45</f>
        <v>6213.4170283700005</v>
      </c>
      <c r="E6" s="382">
        <f>TableauxNote!D45</f>
        <v>6499.3807921200005</v>
      </c>
      <c r="F6" s="382">
        <f>TableauxNote!E45</f>
        <v>6723.6242346497584</v>
      </c>
      <c r="G6" s="382">
        <f>TableauxNote!F45</f>
        <v>7175.5268792288289</v>
      </c>
      <c r="H6" s="382">
        <f>TableauxNote!G45</f>
        <v>7472.5688793031704</v>
      </c>
      <c r="I6" s="382">
        <f>TableauxNote!H45</f>
        <v>7712.3725952714285</v>
      </c>
      <c r="J6" s="382">
        <f>TableauxNote!I45</f>
        <v>7960.1096536249661</v>
      </c>
      <c r="K6" s="349">
        <f t="shared" si="0"/>
        <v>0.47972560038450113</v>
      </c>
      <c r="L6"/>
    </row>
    <row r="7" spans="1:16" s="9" customFormat="1" ht="12.75" x14ac:dyDescent="0.2">
      <c r="A7" s="391"/>
      <c r="B7" s="390" t="s">
        <v>246</v>
      </c>
      <c r="C7" s="174"/>
      <c r="D7" s="51">
        <f>TableauxNote!C46</f>
        <v>646.33154295999998</v>
      </c>
      <c r="E7" s="382">
        <f>TableauxNote!D46</f>
        <v>655.85460454999998</v>
      </c>
      <c r="F7" s="382">
        <f>TableauxNote!E46</f>
        <v>668.5010214901198</v>
      </c>
      <c r="G7" s="382">
        <f>TableauxNote!F46</f>
        <v>696.21118268926136</v>
      </c>
      <c r="H7" s="382">
        <f>TableauxNote!G46</f>
        <v>708.19961130232105</v>
      </c>
      <c r="I7" s="382">
        <f>TableauxNote!H46</f>
        <v>715.72725352380417</v>
      </c>
      <c r="J7" s="382">
        <f>TableauxNote!I46</f>
        <v>720.94078466163</v>
      </c>
      <c r="K7" s="349">
        <f t="shared" si="0"/>
        <v>4.8409264512421446E-2</v>
      </c>
      <c r="L7"/>
    </row>
    <row r="8" spans="1:16" ht="15" customHeight="1" x14ac:dyDescent="0.2">
      <c r="A8" s="17" t="s">
        <v>15</v>
      </c>
      <c r="B8" s="18"/>
      <c r="C8" s="18"/>
      <c r="D8" s="52">
        <f>SUM(D3:D7)</f>
        <v>12937.286749850002</v>
      </c>
      <c r="E8" s="52">
        <f t="shared" ref="E8:J8" si="1">SUM(E3:E7)</f>
        <v>13548.121648940003</v>
      </c>
      <c r="F8" s="52">
        <f t="shared" si="1"/>
        <v>13782.117761817268</v>
      </c>
      <c r="G8" s="52">
        <f t="shared" si="1"/>
        <v>14420.9451040161</v>
      </c>
      <c r="H8" s="52">
        <f t="shared" si="1"/>
        <v>14871.295947079065</v>
      </c>
      <c r="I8" s="52">
        <f t="shared" si="1"/>
        <v>15289.447600894282</v>
      </c>
      <c r="J8" s="52">
        <f t="shared" si="1"/>
        <v>15701.727156683919</v>
      </c>
      <c r="K8" s="350">
        <f t="shared" si="0"/>
        <v>1</v>
      </c>
      <c r="L8"/>
    </row>
    <row r="9" spans="1:16" s="25" customFormat="1" ht="12.75" x14ac:dyDescent="0.2">
      <c r="A9" s="22" t="s">
        <v>21</v>
      </c>
      <c r="B9" s="23"/>
      <c r="C9" s="23"/>
      <c r="D9" s="203">
        <f>D8/CHARGES_PRODUITS!C8</f>
        <v>0.85991586626037753</v>
      </c>
      <c r="E9" s="203">
        <f>E8/CHARGES_PRODUITS!D8</f>
        <v>0.87618698063775502</v>
      </c>
      <c r="F9" s="203">
        <f>F8/CHARGES_PRODUITS!E8</f>
        <v>0.87793298543011566</v>
      </c>
      <c r="G9" s="203">
        <f>G8/CHARGES_PRODUITS!F8</f>
        <v>0.89078569626567239</v>
      </c>
      <c r="H9" s="203">
        <f>H8/CHARGES_PRODUITS!G8</f>
        <v>0.8928937278170177</v>
      </c>
      <c r="I9" s="203">
        <f>I8/CHARGES_PRODUITS!H8</f>
        <v>0.894507453983582</v>
      </c>
      <c r="J9" s="203">
        <f>J8/CHARGES_PRODUITS!I8</f>
        <v>0.89592848108506784</v>
      </c>
      <c r="K9" s="351"/>
      <c r="L9" s="71"/>
    </row>
    <row r="10" spans="1:16" s="9" customFormat="1" ht="12.75" x14ac:dyDescent="0.2">
      <c r="A10" s="7"/>
      <c r="B10" s="8" t="s">
        <v>16</v>
      </c>
      <c r="D10" s="51">
        <f>TableauxNote!C49</f>
        <v>1590.28099806</v>
      </c>
      <c r="E10" s="405">
        <f>TableauxNote!D49</f>
        <v>1627.74614486</v>
      </c>
      <c r="F10" s="405">
        <f>TableauxNote!E49</f>
        <v>1693.3704889707972</v>
      </c>
      <c r="G10" s="405">
        <f>TableauxNote!F49</f>
        <v>1739.2558817937982</v>
      </c>
      <c r="H10" s="405">
        <f>TableauxNote!G49</f>
        <v>1761.5437016418487</v>
      </c>
      <c r="I10" s="405">
        <f>TableauxNote!H49</f>
        <v>1785.9716895294048</v>
      </c>
      <c r="J10" s="405">
        <f>TableauxNote!I49</f>
        <v>1810.3819413065303</v>
      </c>
      <c r="K10" s="352">
        <f t="shared" ref="K10:K15" si="2">E10/$E$15</f>
        <v>0.27382869144271788</v>
      </c>
      <c r="M10" s="20"/>
      <c r="N10" s="20"/>
      <c r="O10" s="20"/>
      <c r="P10" s="20"/>
    </row>
    <row r="11" spans="1:16" s="9" customFormat="1" ht="12.75" x14ac:dyDescent="0.2">
      <c r="A11" s="12"/>
      <c r="B11" s="13" t="s">
        <v>36</v>
      </c>
      <c r="C11" s="174"/>
      <c r="D11" s="51">
        <f>TableauxNote!C50</f>
        <v>500.05769889999999</v>
      </c>
      <c r="E11" s="405">
        <f>TableauxNote!D50</f>
        <v>517.04956264000009</v>
      </c>
      <c r="F11" s="405">
        <f>TableauxNote!E50</f>
        <v>541.5869523844882</v>
      </c>
      <c r="G11" s="405">
        <f>TableauxNote!F50</f>
        <v>561.08687477490571</v>
      </c>
      <c r="H11" s="405">
        <f>TableauxNote!G50</f>
        <v>574.51944436542476</v>
      </c>
      <c r="I11" s="405">
        <f>TableauxNote!H50</f>
        <v>587.62377441915214</v>
      </c>
      <c r="J11" s="405">
        <f>TableauxNote!I50</f>
        <v>601.35140898503471</v>
      </c>
      <c r="K11" s="352">
        <f t="shared" si="2"/>
        <v>8.698101088786063E-2</v>
      </c>
      <c r="M11" s="20"/>
      <c r="N11" s="20"/>
      <c r="O11" s="20"/>
      <c r="P11" s="20"/>
    </row>
    <row r="12" spans="1:16" s="9" customFormat="1" ht="12.75" x14ac:dyDescent="0.2">
      <c r="A12" s="10"/>
      <c r="B12" s="11" t="s">
        <v>18</v>
      </c>
      <c r="C12" s="174"/>
      <c r="D12" s="51">
        <f>TableauxNote!C51</f>
        <v>647.90029649999997</v>
      </c>
      <c r="E12" s="405">
        <f>TableauxNote!D51</f>
        <v>667.18409943999995</v>
      </c>
      <c r="F12" s="405">
        <f>TableauxNote!E51</f>
        <v>692.67904988381792</v>
      </c>
      <c r="G12" s="405">
        <f>TableauxNote!F51</f>
        <v>708.37386411798298</v>
      </c>
      <c r="H12" s="405">
        <f>TableauxNote!G51</f>
        <v>714.73310177574285</v>
      </c>
      <c r="I12" s="405">
        <f>TableauxNote!H51</f>
        <v>721.75575942599573</v>
      </c>
      <c r="J12" s="405">
        <f>TableauxNote!I51</f>
        <v>728.62123389192777</v>
      </c>
      <c r="K12" s="352">
        <f t="shared" si="2"/>
        <v>0.11223749445080493</v>
      </c>
      <c r="M12" s="20"/>
      <c r="N12" s="20"/>
      <c r="O12" s="20"/>
      <c r="P12" s="20"/>
    </row>
    <row r="13" spans="1:16" s="9" customFormat="1" ht="12.75" x14ac:dyDescent="0.2">
      <c r="A13" s="10"/>
      <c r="B13" s="11" t="s">
        <v>17</v>
      </c>
      <c r="D13" s="51">
        <f>TableauxNote!C52</f>
        <v>3022.4385234800002</v>
      </c>
      <c r="E13" s="405">
        <f>TableauxNote!D52</f>
        <v>3132.4160716800002</v>
      </c>
      <c r="F13" s="405">
        <f>TableauxNote!E52</f>
        <v>3291.2717900944872</v>
      </c>
      <c r="G13" s="405">
        <f>TableauxNote!F52</f>
        <v>3384.8921348363301</v>
      </c>
      <c r="H13" s="405">
        <f>TableauxNote!G52</f>
        <v>3430.1954107600482</v>
      </c>
      <c r="I13" s="405">
        <f>TableauxNote!H52</f>
        <v>3480.2584833295164</v>
      </c>
      <c r="J13" s="405">
        <f>TableauxNote!I52</f>
        <v>3530.4310238130602</v>
      </c>
      <c r="K13" s="352">
        <f t="shared" si="2"/>
        <v>0.52695280321861659</v>
      </c>
      <c r="M13" s="20"/>
      <c r="N13" s="20"/>
      <c r="O13" s="20"/>
      <c r="P13" s="20"/>
    </row>
    <row r="14" spans="1:16" s="9" customFormat="1" ht="12.75" x14ac:dyDescent="0.2">
      <c r="A14" s="391"/>
      <c r="B14" s="390" t="s">
        <v>258</v>
      </c>
      <c r="C14" s="204"/>
      <c r="D14" s="51">
        <f>TableauxNote!C53</f>
        <v>0</v>
      </c>
      <c r="E14" s="405">
        <f>TableauxNote!D53</f>
        <v>0</v>
      </c>
      <c r="F14" s="405">
        <f>TableauxNote!E53</f>
        <v>0</v>
      </c>
      <c r="G14" s="405">
        <f>TableauxNote!F53</f>
        <v>0</v>
      </c>
      <c r="H14" s="405">
        <f>TableauxNote!G53</f>
        <v>0</v>
      </c>
      <c r="I14" s="405">
        <f>TableauxNote!H53</f>
        <v>0</v>
      </c>
      <c r="J14" s="405">
        <f>TableauxNote!I53</f>
        <v>0</v>
      </c>
      <c r="K14" s="352">
        <f t="shared" si="2"/>
        <v>0</v>
      </c>
      <c r="M14" s="20"/>
      <c r="N14" s="20"/>
      <c r="O14" s="20"/>
      <c r="P14" s="20"/>
    </row>
    <row r="15" spans="1:16" x14ac:dyDescent="0.2">
      <c r="A15" s="17" t="s">
        <v>19</v>
      </c>
      <c r="B15" s="18"/>
      <c r="C15" s="18"/>
      <c r="D15" s="52">
        <f>SUM(D10:D14)</f>
        <v>5760.6775169400007</v>
      </c>
      <c r="E15" s="52">
        <f t="shared" ref="E15:J15" si="3">SUM(E10:E14)</f>
        <v>5944.3958786200001</v>
      </c>
      <c r="F15" s="52">
        <f t="shared" si="3"/>
        <v>6218.9082813335908</v>
      </c>
      <c r="G15" s="52">
        <f t="shared" si="3"/>
        <v>6393.608755523017</v>
      </c>
      <c r="H15" s="52">
        <f t="shared" si="3"/>
        <v>6480.9916585430647</v>
      </c>
      <c r="I15" s="52">
        <f t="shared" si="3"/>
        <v>6575.6097067040691</v>
      </c>
      <c r="J15" s="398">
        <f t="shared" si="3"/>
        <v>6670.7856079965532</v>
      </c>
      <c r="K15" s="352">
        <f t="shared" si="2"/>
        <v>1</v>
      </c>
      <c r="M15" s="19"/>
      <c r="N15" s="19"/>
      <c r="O15" s="19"/>
      <c r="P15" s="19"/>
    </row>
    <row r="16" spans="1:16" s="25" customFormat="1" ht="12.75" x14ac:dyDescent="0.2">
      <c r="A16" s="22" t="s">
        <v>22</v>
      </c>
      <c r="B16" s="23"/>
      <c r="C16" s="23"/>
      <c r="D16" s="24">
        <f>D15/TableauxNote!C16</f>
        <v>0.38211326329643069</v>
      </c>
      <c r="E16" s="24">
        <f>E15/TableauxNote!D16</f>
        <v>0.38296101441072267</v>
      </c>
      <c r="F16" s="24">
        <f>F15/TableauxNote!E16</f>
        <v>0.3946525793613635</v>
      </c>
      <c r="G16" s="24">
        <f>G15/TableauxNote!F16</f>
        <v>0.39354267349684685</v>
      </c>
      <c r="H16" s="24">
        <f>H15/TableauxNote!G16</f>
        <v>0.38792680739175822</v>
      </c>
      <c r="I16" s="24">
        <f>I15/TableauxNote!H16</f>
        <v>0.38374580364003291</v>
      </c>
      <c r="J16" s="24">
        <f>J15/TableauxNote!I16</f>
        <v>0.37993547398828281</v>
      </c>
    </row>
    <row r="17" spans="1:10" x14ac:dyDescent="0.2">
      <c r="D17" s="130"/>
      <c r="E17" s="130"/>
      <c r="F17" s="130"/>
      <c r="G17" s="130"/>
      <c r="H17" s="130"/>
      <c r="I17" s="130"/>
      <c r="J17" s="130"/>
    </row>
    <row r="18" spans="1:10" x14ac:dyDescent="0.2">
      <c r="D18" s="130"/>
      <c r="E18" s="130"/>
      <c r="F18" s="130"/>
      <c r="G18" s="130"/>
      <c r="H18" s="130"/>
      <c r="I18" s="130"/>
      <c r="J18" s="130"/>
    </row>
    <row r="19" spans="1:10" x14ac:dyDescent="0.2">
      <c r="A19" s="599" t="s">
        <v>32</v>
      </c>
      <c r="B19" s="600"/>
      <c r="C19" s="166"/>
      <c r="D19" s="16"/>
      <c r="E19" s="604" t="s">
        <v>1</v>
      </c>
      <c r="F19" s="604"/>
      <c r="G19" s="604"/>
      <c r="H19" s="604"/>
      <c r="I19" s="604"/>
    </row>
    <row r="20" spans="1:10" x14ac:dyDescent="0.2">
      <c r="A20" s="1"/>
      <c r="B20" s="2" t="s">
        <v>0</v>
      </c>
      <c r="C20" s="2"/>
      <c r="D20" s="14" t="str">
        <f>TableauxNote!C23</f>
        <v>2022/2021</v>
      </c>
      <c r="E20" s="14" t="str">
        <f>TableauxNote!D23</f>
        <v>2023/2022</v>
      </c>
      <c r="F20" s="14" t="str">
        <f>TableauxNote!E23</f>
        <v>2024/2023</v>
      </c>
      <c r="G20" s="14" t="str">
        <f>TableauxNote!F23</f>
        <v>2025/2024</v>
      </c>
      <c r="H20" s="14" t="str">
        <f>TableauxNote!G23</f>
        <v>2026/2025</v>
      </c>
      <c r="I20" s="14" t="str">
        <f>TableauxNote!H23</f>
        <v>2027/2026</v>
      </c>
    </row>
    <row r="21" spans="1:10" s="9" customFormat="1" x14ac:dyDescent="0.2">
      <c r="A21" s="7"/>
      <c r="B21" s="8" t="s">
        <v>12</v>
      </c>
      <c r="C21"/>
      <c r="D21" s="383">
        <f t="shared" ref="D21:I25" si="4">(E3/D3)-1</f>
        <v>4.4015461059504046E-2</v>
      </c>
      <c r="E21" s="383">
        <f t="shared" si="4"/>
        <v>-4.2543715297754803E-3</v>
      </c>
      <c r="F21" s="383">
        <f t="shared" si="4"/>
        <v>3.0612683989587719E-2</v>
      </c>
      <c r="G21" s="383">
        <f t="shared" si="4"/>
        <v>2.047389095963692E-2</v>
      </c>
      <c r="H21" s="383">
        <f t="shared" si="4"/>
        <v>2.552040013256085E-2</v>
      </c>
      <c r="I21" s="383">
        <f t="shared" si="4"/>
        <v>2.2513278790119218E-2</v>
      </c>
      <c r="J21" s="320">
        <f t="shared" ref="J21:J26" si="5">(((J3/F3))^(1/4))-1</f>
        <v>2.4772966860456158E-2</v>
      </c>
    </row>
    <row r="22" spans="1:10" s="9" customFormat="1" x14ac:dyDescent="0.2">
      <c r="A22" s="10"/>
      <c r="B22" s="13" t="s">
        <v>35</v>
      </c>
      <c r="C22" s="13"/>
      <c r="D22" s="384">
        <f t="shared" si="4"/>
        <v>3.510091536634441E-2</v>
      </c>
      <c r="E22" s="384">
        <f t="shared" si="4"/>
        <v>2.9713940515878612E-2</v>
      </c>
      <c r="F22" s="384">
        <f t="shared" si="4"/>
        <v>3.2972744015761668E-2</v>
      </c>
      <c r="G22" s="383">
        <f t="shared" si="4"/>
        <v>3.4393907360357634E-2</v>
      </c>
      <c r="H22" s="383">
        <f t="shared" si="4"/>
        <v>3.564646401303051E-2</v>
      </c>
      <c r="I22" s="383">
        <f t="shared" si="4"/>
        <v>3.7601667903436553E-2</v>
      </c>
      <c r="J22" s="554">
        <f t="shared" si="5"/>
        <v>3.5152299089067141E-2</v>
      </c>
    </row>
    <row r="23" spans="1:10" s="9" customFormat="1" x14ac:dyDescent="0.2">
      <c r="A23" s="10"/>
      <c r="B23" s="11" t="s">
        <v>14</v>
      </c>
      <c r="C23" s="11"/>
      <c r="D23" s="384">
        <f t="shared" si="4"/>
        <v>0.12094111182412659</v>
      </c>
      <c r="E23" s="384">
        <f t="shared" si="4"/>
        <v>1.1378771304051405E-3</v>
      </c>
      <c r="F23" s="384">
        <f t="shared" si="4"/>
        <v>-1.8376406739148421E-2</v>
      </c>
      <c r="G23" s="383">
        <f t="shared" si="4"/>
        <v>1.8432924582324706E-2</v>
      </c>
      <c r="H23" s="383">
        <f t="shared" si="4"/>
        <v>1.7062446412619892E-2</v>
      </c>
      <c r="I23" s="383">
        <f t="shared" si="4"/>
        <v>1.5716877389268857E-2</v>
      </c>
      <c r="J23" s="554">
        <f t="shared" si="5"/>
        <v>8.0902786534462479E-3</v>
      </c>
    </row>
    <row r="24" spans="1:10" s="9" customFormat="1" x14ac:dyDescent="0.2">
      <c r="A24" s="12"/>
      <c r="B24" s="11" t="s">
        <v>13</v>
      </c>
      <c r="C24" s="13"/>
      <c r="D24" s="385">
        <f t="shared" si="4"/>
        <v>4.6023590955557969E-2</v>
      </c>
      <c r="E24" s="385">
        <f t="shared" si="4"/>
        <v>3.4502277940328785E-2</v>
      </c>
      <c r="F24" s="385">
        <f t="shared" si="4"/>
        <v>6.7211168977918234E-2</v>
      </c>
      <c r="G24" s="383">
        <f t="shared" si="4"/>
        <v>4.1396542034313422E-2</v>
      </c>
      <c r="H24" s="383">
        <f t="shared" si="4"/>
        <v>3.2091201813133408E-2</v>
      </c>
      <c r="I24" s="383">
        <f t="shared" si="4"/>
        <v>3.2122029283884634E-2</v>
      </c>
      <c r="J24" s="554">
        <f t="shared" si="5"/>
        <v>4.3107106340342982E-2</v>
      </c>
    </row>
    <row r="25" spans="1:10" s="9" customFormat="1" x14ac:dyDescent="0.2">
      <c r="A25" s="391"/>
      <c r="B25" s="390" t="s">
        <v>246</v>
      </c>
      <c r="C25" s="174"/>
      <c r="D25" s="385">
        <f t="shared" si="4"/>
        <v>1.4734019550380228E-2</v>
      </c>
      <c r="E25" s="385">
        <f t="shared" si="4"/>
        <v>1.9282348332061883E-2</v>
      </c>
      <c r="F25" s="385">
        <f t="shared" si="4"/>
        <v>4.1451187520064492E-2</v>
      </c>
      <c r="G25" s="383">
        <f t="shared" si="4"/>
        <v>1.7219528946305962E-2</v>
      </c>
      <c r="H25" s="383">
        <f t="shared" si="4"/>
        <v>1.0629266242663471E-2</v>
      </c>
      <c r="I25" s="383">
        <f t="shared" si="4"/>
        <v>7.2842428622881261E-3</v>
      </c>
      <c r="J25" s="554">
        <f t="shared" si="5"/>
        <v>1.9059119743548125E-2</v>
      </c>
    </row>
    <row r="26" spans="1:10" s="9" customFormat="1" x14ac:dyDescent="0.2">
      <c r="A26" s="17" t="s">
        <v>15</v>
      </c>
      <c r="B26" s="21"/>
      <c r="C26" s="21"/>
      <c r="D26" s="386">
        <f>(E8/D8)-1</f>
        <v>4.7215069967980972E-2</v>
      </c>
      <c r="E26" s="386">
        <f t="shared" ref="E26:I26" si="6">(F8/E8)-1</f>
        <v>1.727148005757484E-2</v>
      </c>
      <c r="F26" s="386">
        <f t="shared" si="6"/>
        <v>4.6351899848706468E-2</v>
      </c>
      <c r="G26" s="386">
        <f t="shared" si="6"/>
        <v>3.1228940947673811E-2</v>
      </c>
      <c r="H26" s="386">
        <f t="shared" si="6"/>
        <v>2.8118037278207053E-2</v>
      </c>
      <c r="I26" s="386">
        <f t="shared" si="6"/>
        <v>2.6964973918712554E-2</v>
      </c>
      <c r="J26" s="320">
        <f t="shared" si="5"/>
        <v>3.3136886275380695E-2</v>
      </c>
    </row>
    <row r="27" spans="1:10" s="9" customFormat="1" x14ac:dyDescent="0.2">
      <c r="A27" s="7"/>
      <c r="B27" s="8" t="s">
        <v>16</v>
      </c>
      <c r="C27" s="205"/>
      <c r="D27" s="264">
        <f t="shared" ref="D27:I31" si="7">(E10/D10)-1</f>
        <v>2.355882189732772E-2</v>
      </c>
      <c r="E27" s="264">
        <f t="shared" si="7"/>
        <v>4.03160801934761E-2</v>
      </c>
      <c r="F27" s="264">
        <f t="shared" si="7"/>
        <v>2.7097078354595183E-2</v>
      </c>
      <c r="G27" s="264">
        <f t="shared" si="7"/>
        <v>1.2814572071513597E-2</v>
      </c>
      <c r="H27" s="264">
        <f t="shared" si="7"/>
        <v>1.3867375453012087E-2</v>
      </c>
      <c r="I27" s="264">
        <f t="shared" si="7"/>
        <v>1.3667770838829751E-2</v>
      </c>
      <c r="J27" s="266">
        <f t="shared" ref="J27:J32" si="8">(((J10/F10))^(1/4))-1</f>
        <v>1.6844527092681361E-2</v>
      </c>
    </row>
    <row r="28" spans="1:10" s="9" customFormat="1" x14ac:dyDescent="0.2">
      <c r="A28" s="10"/>
      <c r="B28" s="13" t="s">
        <v>36</v>
      </c>
      <c r="C28" s="13"/>
      <c r="D28" s="265">
        <f t="shared" si="7"/>
        <v>3.3979806285110437E-2</v>
      </c>
      <c r="E28" s="265">
        <f t="shared" si="7"/>
        <v>4.7456552557946008E-2</v>
      </c>
      <c r="F28" s="265">
        <f t="shared" si="7"/>
        <v>3.6005155413297185E-2</v>
      </c>
      <c r="G28" s="265">
        <f t="shared" si="7"/>
        <v>2.3940266996813842E-2</v>
      </c>
      <c r="H28" s="265">
        <f t="shared" si="7"/>
        <v>2.2809201990024119E-2</v>
      </c>
      <c r="I28" s="265">
        <f t="shared" si="7"/>
        <v>2.3361264747077115E-2</v>
      </c>
      <c r="J28" s="266">
        <f t="shared" si="8"/>
        <v>2.6514373781275413E-2</v>
      </c>
    </row>
    <row r="29" spans="1:10" s="9" customFormat="1" x14ac:dyDescent="0.2">
      <c r="A29" s="10"/>
      <c r="B29" s="11" t="s">
        <v>18</v>
      </c>
      <c r="C29" s="11"/>
      <c r="D29" s="265">
        <f t="shared" si="7"/>
        <v>2.9763534673733494E-2</v>
      </c>
      <c r="E29" s="265">
        <f t="shared" si="7"/>
        <v>3.8212766858828129E-2</v>
      </c>
      <c r="F29" s="265">
        <f t="shared" si="7"/>
        <v>2.265813328235855E-2</v>
      </c>
      <c r="G29" s="265">
        <f t="shared" si="7"/>
        <v>8.977233604853474E-3</v>
      </c>
      <c r="H29" s="265">
        <f t="shared" si="7"/>
        <v>9.8255665405801995E-3</v>
      </c>
      <c r="I29" s="265">
        <f t="shared" si="7"/>
        <v>9.5121852181576649E-3</v>
      </c>
      <c r="J29" s="266">
        <f t="shared" si="8"/>
        <v>1.2727125965578567E-2</v>
      </c>
    </row>
    <row r="30" spans="1:10" s="9" customFormat="1" x14ac:dyDescent="0.2">
      <c r="A30" s="10"/>
      <c r="B30" s="11" t="s">
        <v>17</v>
      </c>
      <c r="C30" s="11"/>
      <c r="D30" s="265">
        <f t="shared" si="7"/>
        <v>3.6387025689896602E-2</v>
      </c>
      <c r="E30" s="265">
        <f t="shared" si="7"/>
        <v>5.0713479556784513E-2</v>
      </c>
      <c r="F30" s="265">
        <f t="shared" si="7"/>
        <v>2.8445036056762518E-2</v>
      </c>
      <c r="G30" s="265">
        <f t="shared" si="7"/>
        <v>1.3383964427542638E-2</v>
      </c>
      <c r="H30" s="265">
        <f t="shared" si="7"/>
        <v>1.4594816497167207E-2</v>
      </c>
      <c r="I30" s="265">
        <f t="shared" si="7"/>
        <v>1.4416325891847048E-2</v>
      </c>
      <c r="J30" s="266">
        <f t="shared" si="8"/>
        <v>1.7691145354288951E-2</v>
      </c>
    </row>
    <row r="31" spans="1:10" s="9" customFormat="1" x14ac:dyDescent="0.2">
      <c r="A31" s="391"/>
      <c r="B31" s="390" t="s">
        <v>258</v>
      </c>
      <c r="C31" s="174"/>
      <c r="D31" s="265" t="e">
        <f t="shared" si="7"/>
        <v>#DIV/0!</v>
      </c>
      <c r="E31" s="265" t="e">
        <f t="shared" si="7"/>
        <v>#DIV/0!</v>
      </c>
      <c r="F31" s="265" t="e">
        <f t="shared" si="7"/>
        <v>#DIV/0!</v>
      </c>
      <c r="G31" s="265" t="e">
        <f t="shared" si="7"/>
        <v>#DIV/0!</v>
      </c>
      <c r="H31" s="265" t="e">
        <f t="shared" si="7"/>
        <v>#DIV/0!</v>
      </c>
      <c r="I31" s="265" t="e">
        <f t="shared" si="7"/>
        <v>#DIV/0!</v>
      </c>
      <c r="J31" s="266" t="e">
        <f t="shared" si="8"/>
        <v>#DIV/0!</v>
      </c>
    </row>
    <row r="32" spans="1:10" s="9" customFormat="1" x14ac:dyDescent="0.2">
      <c r="A32" s="17" t="s">
        <v>19</v>
      </c>
      <c r="B32" s="21"/>
      <c r="C32" s="21"/>
      <c r="D32" s="387">
        <f t="shared" ref="D32:I32" si="9">(E15/D15)-1</f>
        <v>3.189179764702188E-2</v>
      </c>
      <c r="E32" s="387">
        <f t="shared" si="9"/>
        <v>4.6180033819907651E-2</v>
      </c>
      <c r="F32" s="387">
        <f t="shared" si="9"/>
        <v>2.8091823562312213E-2</v>
      </c>
      <c r="G32" s="387">
        <f t="shared" si="9"/>
        <v>1.366722712655255E-2</v>
      </c>
      <c r="H32" s="387">
        <f t="shared" si="9"/>
        <v>1.4599316454339428E-2</v>
      </c>
      <c r="I32" s="387">
        <f t="shared" si="9"/>
        <v>1.4474080053055616E-2</v>
      </c>
      <c r="J32" s="320">
        <f t="shared" si="8"/>
        <v>1.7690470444667206E-2</v>
      </c>
    </row>
    <row r="34" spans="1:11" x14ac:dyDescent="0.2">
      <c r="C34" s="377"/>
      <c r="D34" s="377"/>
      <c r="E34" s="377"/>
      <c r="F34" s="377"/>
      <c r="G34" s="377"/>
      <c r="H34" s="377"/>
      <c r="I34" s="377"/>
      <c r="J34" s="377"/>
    </row>
    <row r="35" spans="1:11" x14ac:dyDescent="0.2">
      <c r="A35" s="5" t="s">
        <v>15</v>
      </c>
      <c r="B35" s="6"/>
      <c r="C35" s="375"/>
      <c r="D35" s="376">
        <f t="shared" ref="D35:J35" si="10">-D8</f>
        <v>-12937.286749850002</v>
      </c>
      <c r="E35" s="376">
        <f t="shared" si="10"/>
        <v>-13548.121648940003</v>
      </c>
      <c r="F35" s="376">
        <f t="shared" si="10"/>
        <v>-13782.117761817268</v>
      </c>
      <c r="G35" s="376">
        <f t="shared" si="10"/>
        <v>-14420.9451040161</v>
      </c>
      <c r="H35" s="376">
        <f t="shared" si="10"/>
        <v>-14871.295947079065</v>
      </c>
      <c r="I35" s="376">
        <f t="shared" si="10"/>
        <v>-15289.447600894282</v>
      </c>
      <c r="J35" s="376">
        <f t="shared" si="10"/>
        <v>-15701.727156683919</v>
      </c>
    </row>
    <row r="36" spans="1:11" x14ac:dyDescent="0.2">
      <c r="A36" s="5" t="s">
        <v>19</v>
      </c>
      <c r="B36" s="6"/>
      <c r="C36" s="375"/>
      <c r="D36" s="376">
        <f t="shared" ref="D36:J36" si="11">D15</f>
        <v>5760.6775169400007</v>
      </c>
      <c r="E36" s="376">
        <f t="shared" si="11"/>
        <v>5944.3958786200001</v>
      </c>
      <c r="F36" s="376">
        <f t="shared" si="11"/>
        <v>6218.9082813335908</v>
      </c>
      <c r="G36" s="376">
        <f t="shared" si="11"/>
        <v>6393.608755523017</v>
      </c>
      <c r="H36" s="376">
        <f t="shared" si="11"/>
        <v>6480.9916585430647</v>
      </c>
      <c r="I36" s="376">
        <f t="shared" si="11"/>
        <v>6575.6097067040691</v>
      </c>
      <c r="J36" s="376">
        <f t="shared" si="11"/>
        <v>6670.7856079965532</v>
      </c>
    </row>
    <row r="37" spans="1:11" x14ac:dyDescent="0.2">
      <c r="A37" s="378"/>
      <c r="B37" s="378"/>
      <c r="C37" s="378"/>
      <c r="D37" s="379"/>
      <c r="E37" s="379"/>
      <c r="F37" s="379"/>
      <c r="G37" s="379"/>
      <c r="H37" s="379"/>
      <c r="I37" s="379"/>
      <c r="J37" s="379"/>
    </row>
    <row r="38" spans="1:11" x14ac:dyDescent="0.2">
      <c r="A38" s="380" t="s">
        <v>15</v>
      </c>
      <c r="B38" s="377"/>
      <c r="C38" s="377"/>
      <c r="D38" s="376">
        <f>-D35</f>
        <v>12937.286749850002</v>
      </c>
      <c r="E38" s="376">
        <f t="shared" ref="E38:J38" si="12">-E35</f>
        <v>13548.121648940003</v>
      </c>
      <c r="F38" s="376">
        <f t="shared" si="12"/>
        <v>13782.117761817268</v>
      </c>
      <c r="G38" s="376">
        <f t="shared" si="12"/>
        <v>14420.9451040161</v>
      </c>
      <c r="H38" s="376">
        <f t="shared" si="12"/>
        <v>14871.295947079065</v>
      </c>
      <c r="I38" s="376">
        <f t="shared" si="12"/>
        <v>15289.447600894282</v>
      </c>
      <c r="J38" s="376">
        <f t="shared" si="12"/>
        <v>15701.727156683919</v>
      </c>
    </row>
    <row r="39" spans="1:11" x14ac:dyDescent="0.2">
      <c r="A39" s="6" t="s">
        <v>29</v>
      </c>
      <c r="B39" s="378"/>
      <c r="C39" s="378"/>
      <c r="D39" s="379">
        <f>D40-D38</f>
        <v>2107.5417705399996</v>
      </c>
      <c r="E39" s="379">
        <f t="shared" ref="E39:J39" si="13">E40-E38</f>
        <v>1914.4701817199984</v>
      </c>
      <c r="F39" s="379">
        <f t="shared" si="13"/>
        <v>1916.2532876144287</v>
      </c>
      <c r="G39" s="379">
        <f t="shared" si="13"/>
        <v>1768.0722594992712</v>
      </c>
      <c r="H39" s="379">
        <f t="shared" si="13"/>
        <v>1783.8730655166491</v>
      </c>
      <c r="I39" s="379">
        <f t="shared" si="13"/>
        <v>1803.1406529034412</v>
      </c>
      <c r="J39" s="379">
        <f t="shared" si="13"/>
        <v>1823.9208031480994</v>
      </c>
    </row>
    <row r="40" spans="1:11" x14ac:dyDescent="0.2">
      <c r="A40" s="377" t="str">
        <f>CHARGES_PRODUITS!A39</f>
        <v xml:space="preserve">Total charges </v>
      </c>
      <c r="B40" s="377"/>
      <c r="C40" s="377"/>
      <c r="D40" s="376">
        <f>CHARGES_PRODUITS!C8</f>
        <v>15044.828520390001</v>
      </c>
      <c r="E40" s="376">
        <f>CHARGES_PRODUITS!D8</f>
        <v>15462.591830660002</v>
      </c>
      <c r="F40" s="376">
        <f>CHARGES_PRODUITS!E8</f>
        <v>15698.371049431697</v>
      </c>
      <c r="G40" s="376">
        <f>CHARGES_PRODUITS!F8</f>
        <v>16189.017363515371</v>
      </c>
      <c r="H40" s="376">
        <f>CHARGES_PRODUITS!G8</f>
        <v>16655.169012595714</v>
      </c>
      <c r="I40" s="376">
        <f>CHARGES_PRODUITS!H8</f>
        <v>17092.588253797723</v>
      </c>
      <c r="J40" s="376">
        <f>CHARGES_PRODUITS!I8</f>
        <v>17525.647959832018</v>
      </c>
    </row>
    <row r="42" spans="1:11" x14ac:dyDescent="0.2">
      <c r="A42" s="377" t="str">
        <f>A36</f>
        <v>Total Cotisations</v>
      </c>
      <c r="B42" s="377"/>
      <c r="C42" s="377"/>
      <c r="D42" s="376">
        <f t="shared" ref="D42:J42" si="14">D36</f>
        <v>5760.6775169400007</v>
      </c>
      <c r="E42" s="376">
        <f t="shared" si="14"/>
        <v>5944.3958786200001</v>
      </c>
      <c r="F42" s="376">
        <f t="shared" si="14"/>
        <v>6218.9082813335908</v>
      </c>
      <c r="G42" s="376">
        <f t="shared" si="14"/>
        <v>6393.608755523017</v>
      </c>
      <c r="H42" s="376">
        <f t="shared" si="14"/>
        <v>6480.9916585430647</v>
      </c>
      <c r="I42" s="376">
        <f t="shared" si="14"/>
        <v>6575.6097067040691</v>
      </c>
      <c r="J42" s="376">
        <f t="shared" si="14"/>
        <v>6670.7856079965532</v>
      </c>
    </row>
    <row r="43" spans="1:11" x14ac:dyDescent="0.2">
      <c r="A43" s="378" t="s">
        <v>30</v>
      </c>
      <c r="B43" s="378"/>
      <c r="C43" s="378"/>
      <c r="D43" s="379">
        <f>D44-D42</f>
        <v>9315.1601214700004</v>
      </c>
      <c r="E43" s="379">
        <f>E44-E42</f>
        <v>9577.7999975500024</v>
      </c>
      <c r="F43" s="379">
        <f t="shared" ref="F43:J43" si="15">F44-F42</f>
        <v>9539.0231412791327</v>
      </c>
      <c r="G43" s="379">
        <f t="shared" si="15"/>
        <v>9852.6821453143075</v>
      </c>
      <c r="H43" s="379">
        <f t="shared" si="15"/>
        <v>10225.746661807305</v>
      </c>
      <c r="I43" s="379">
        <f t="shared" si="15"/>
        <v>10559.716971349259</v>
      </c>
      <c r="J43" s="379">
        <f t="shared" si="15"/>
        <v>10886.89474749002</v>
      </c>
    </row>
    <row r="44" spans="1:11" x14ac:dyDescent="0.2">
      <c r="A44" s="377" t="str">
        <f>CHARGES_PRODUITS!A37</f>
        <v>Total produits</v>
      </c>
      <c r="B44" s="377"/>
      <c r="C44" s="377"/>
      <c r="D44" s="376">
        <f>CHARGES_PRODUITS!C14</f>
        <v>15075.837638410001</v>
      </c>
      <c r="E44" s="376">
        <f>CHARGES_PRODUITS!D14</f>
        <v>15522.195876170003</v>
      </c>
      <c r="F44" s="376">
        <f>CHARGES_PRODUITS!E14</f>
        <v>15757.931422612723</v>
      </c>
      <c r="G44" s="376">
        <f>CHARGES_PRODUITS!F14</f>
        <v>16246.290900837324</v>
      </c>
      <c r="H44" s="376">
        <f>CHARGES_PRODUITS!G14</f>
        <v>16706.73832035037</v>
      </c>
      <c r="I44" s="376">
        <f>CHARGES_PRODUITS!H14</f>
        <v>17135.326678053327</v>
      </c>
      <c r="J44" s="376">
        <f>CHARGES_PRODUITS!I14</f>
        <v>17557.680355486573</v>
      </c>
    </row>
    <row r="46" spans="1:11" x14ac:dyDescent="0.2">
      <c r="A46" s="4" t="s">
        <v>129</v>
      </c>
      <c r="J46"/>
      <c r="K46"/>
    </row>
    <row r="47" spans="1:11" x14ac:dyDescent="0.2">
      <c r="A47" s="41"/>
      <c r="B47" s="42" t="s">
        <v>2</v>
      </c>
      <c r="C47" s="45">
        <f t="shared" ref="C47:H47" si="16">E2</f>
        <v>2022</v>
      </c>
      <c r="D47" s="45" t="str">
        <f t="shared" si="16"/>
        <v>2023(p)</v>
      </c>
      <c r="E47" s="45" t="str">
        <f t="shared" si="16"/>
        <v>2024(p)</v>
      </c>
      <c r="F47" s="45" t="str">
        <f t="shared" si="16"/>
        <v>2025(p)</v>
      </c>
      <c r="G47" s="45" t="str">
        <f t="shared" si="16"/>
        <v>2026(p)</v>
      </c>
      <c r="H47" s="45" t="str">
        <f t="shared" si="16"/>
        <v>2027(p)</v>
      </c>
      <c r="J47" s="172" t="s">
        <v>134</v>
      </c>
    </row>
    <row r="48" spans="1:11" x14ac:dyDescent="0.2">
      <c r="A48" s="43"/>
      <c r="B48" s="8" t="s">
        <v>12</v>
      </c>
      <c r="C48" s="55">
        <f t="shared" ref="C48:D51" si="17">(D3/$E$8)*D21*100</f>
        <v>1.5647369367737247</v>
      </c>
      <c r="D48" s="55">
        <f t="shared" si="17"/>
        <v>-0.15789865224777744</v>
      </c>
      <c r="E48" s="55">
        <f>(F3/$F$8)*F21*100</f>
        <v>1.1121310272630338</v>
      </c>
      <c r="F48" s="55">
        <f>(G3/$G$8)*G21*100</f>
        <v>0.73260967681059674</v>
      </c>
      <c r="G48" s="55">
        <f>(H3/$H$8)*H21*100</f>
        <v>0.90366310076322331</v>
      </c>
      <c r="H48" s="55">
        <f>(I3/$I$8)*I21*100</f>
        <v>0.79516845821629678</v>
      </c>
    </row>
    <row r="49" spans="1:8" x14ac:dyDescent="0.2">
      <c r="A49" s="43"/>
      <c r="B49" s="13" t="s">
        <v>35</v>
      </c>
      <c r="C49" s="55">
        <f t="shared" si="17"/>
        <v>0.1484284824204638</v>
      </c>
      <c r="D49" s="55">
        <f t="shared" si="17"/>
        <v>0.13005940030072954</v>
      </c>
      <c r="E49" s="55">
        <f>(F4/$F$8)*F22*100</f>
        <v>0.14608859488684575</v>
      </c>
      <c r="F49" s="55">
        <f>(G4/$G$8)*G22*100</f>
        <v>0.15043671221307431</v>
      </c>
      <c r="G49" s="55">
        <f>(H4/$H$8)*H22*100</f>
        <v>0.15639383645225552</v>
      </c>
      <c r="H49" s="55">
        <f>(I4/$I$8)*I22*100</f>
        <v>0.1661800307347871</v>
      </c>
    </row>
    <row r="50" spans="1:8" x14ac:dyDescent="0.2">
      <c r="A50" s="43"/>
      <c r="B50" s="11" t="s">
        <v>14</v>
      </c>
      <c r="C50" s="55">
        <f t="shared" si="17"/>
        <v>0.61444930055313762</v>
      </c>
      <c r="D50" s="55">
        <f t="shared" si="17"/>
        <v>6.4802276660876667E-3</v>
      </c>
      <c r="E50" s="55">
        <f>(F5/$F$8)*F23*100</f>
        <v>-0.10299413959221525</v>
      </c>
      <c r="F50" s="55">
        <f>(G5/$G$8)*G23*100</f>
        <v>9.6919995677479887E-2</v>
      </c>
      <c r="G50" s="55">
        <f>(H5/$H$8)*H23*100</f>
        <v>8.8600827604459129E-2</v>
      </c>
      <c r="H50" s="55">
        <f>(I5/$I$8)*I23*100</f>
        <v>8.0736028797967208E-2</v>
      </c>
    </row>
    <row r="51" spans="1:8" x14ac:dyDescent="0.2">
      <c r="A51" s="43"/>
      <c r="B51" s="11" t="s">
        <v>13</v>
      </c>
      <c r="C51" s="55">
        <f t="shared" si="17"/>
        <v>2.1107262774863926</v>
      </c>
      <c r="D51" s="55">
        <f t="shared" si="17"/>
        <v>1.6551625999557156</v>
      </c>
      <c r="E51" s="55">
        <f>(F6/$F$8)*F24*100</f>
        <v>3.2789056978677609</v>
      </c>
      <c r="F51" s="55">
        <f>(G6/$G$8)*G24*100</f>
        <v>2.059795650921787</v>
      </c>
      <c r="G51" s="55">
        <f>(H6/$H$8)*H24*100</f>
        <v>1.6125273602356025</v>
      </c>
      <c r="H51" s="55">
        <f>(I6/$I$8)*I24*100</f>
        <v>1.620313989231684</v>
      </c>
    </row>
    <row r="52" spans="1:8" x14ac:dyDescent="0.2">
      <c r="A52" s="43"/>
      <c r="B52" s="390" t="s">
        <v>246</v>
      </c>
      <c r="C52" s="55">
        <f>(E7/$E$8)*D26*100</f>
        <v>0.22856468110524769</v>
      </c>
      <c r="D52" s="55">
        <f>(F7/$F$8)*E26*100</f>
        <v>8.3775238759914591E-2</v>
      </c>
      <c r="E52" s="55">
        <f>(G7/$G$8)*F26*100</f>
        <v>0.22377667192266773</v>
      </c>
      <c r="F52" s="55">
        <f>(H7/$H$8)*G26*100</f>
        <v>0.14871820128675264</v>
      </c>
      <c r="G52" s="55">
        <f>(I7/$I$8)*H26*100</f>
        <v>0.13162572069924863</v>
      </c>
      <c r="H52" s="55">
        <f>(J7/$J$8)*I26*100</f>
        <v>0.12380898777152502</v>
      </c>
    </row>
    <row r="53" spans="1:8" ht="15" x14ac:dyDescent="0.2">
      <c r="A53" s="96" t="s">
        <v>20</v>
      </c>
      <c r="B53" s="96"/>
      <c r="C53" s="53">
        <f>(D8/$E$8)*D26*100</f>
        <v>4.5086316385252729</v>
      </c>
      <c r="D53" s="53">
        <f t="shared" ref="D53:H53" si="18">(E8/$E$8)*E26*100</f>
        <v>1.727148005757484</v>
      </c>
      <c r="E53" s="53">
        <f t="shared" si="18"/>
        <v>4.7152465762574103</v>
      </c>
      <c r="F53" s="53">
        <f t="shared" si="18"/>
        <v>3.3240832547307377</v>
      </c>
      <c r="G53" s="53">
        <f t="shared" si="18"/>
        <v>3.0864179157111016</v>
      </c>
      <c r="H53" s="53">
        <f t="shared" si="18"/>
        <v>3.043075390616182</v>
      </c>
    </row>
    <row r="54" spans="1:8" x14ac:dyDescent="0.2">
      <c r="A54" s="43"/>
      <c r="B54" s="8" t="s">
        <v>16</v>
      </c>
      <c r="C54" s="55">
        <f>(E10/$E$15)*D27*100</f>
        <v>0.64510813720772975</v>
      </c>
      <c r="D54" s="55">
        <f>(E10/$E$15)*E27*100</f>
        <v>1.1039699483479235</v>
      </c>
      <c r="E54" s="55">
        <f>(F10/$F$15)*F27*100</f>
        <v>0.73783678335839875</v>
      </c>
      <c r="F54" s="55">
        <f>(G10/$G$15)*G27*100</f>
        <v>0.34859530353335405</v>
      </c>
      <c r="G54" s="55">
        <f>(H10/$H$15)*H27*100</f>
        <v>0.37691744064129323</v>
      </c>
      <c r="H54" s="55">
        <f>(I10/$I$15)*I27*100</f>
        <v>0.37122415815279269</v>
      </c>
    </row>
    <row r="55" spans="1:8" x14ac:dyDescent="0.2">
      <c r="A55" s="43"/>
      <c r="B55" s="13" t="s">
        <v>36</v>
      </c>
      <c r="C55" s="55">
        <f>(D11/$E$15)*D28*100</f>
        <v>0.28584677210200826</v>
      </c>
      <c r="D55" s="55">
        <f>(E11/$E$15)*E28*100</f>
        <v>0.41278189147430322</v>
      </c>
      <c r="E55" s="55">
        <f>(F11/$F$15)*F28*100</f>
        <v>0.31355861042279098</v>
      </c>
      <c r="F55" s="55">
        <f>(G11/$G$15)*G28*100</f>
        <v>0.21009370613920636</v>
      </c>
      <c r="G55" s="55">
        <f>(H11/$H$15)*H28*100</f>
        <v>0.20219637277967534</v>
      </c>
      <c r="H55" s="55">
        <f>(I11/$I$15)*I28*100</f>
        <v>0.2087659575033281</v>
      </c>
    </row>
    <row r="56" spans="1:8" x14ac:dyDescent="0.2">
      <c r="A56" s="43"/>
      <c r="B56" s="11" t="s">
        <v>18</v>
      </c>
      <c r="C56" s="55">
        <f>(D12/$E$15)*D29*100</f>
        <v>0.32440307364718657</v>
      </c>
      <c r="D56" s="55">
        <f>(E12/$E$15)*E29*100</f>
        <v>0.42889052082676243</v>
      </c>
      <c r="E56" s="55">
        <f>(F12/$F$15)*F29*100</f>
        <v>0.25237249890425167</v>
      </c>
      <c r="F56" s="55">
        <f>(G12/$G$15)*G29*100</f>
        <v>9.9462414747642169E-2</v>
      </c>
      <c r="G56" s="55">
        <f>(H12/$H$15)*H29*100</f>
        <v>0.10835776406216736</v>
      </c>
      <c r="H56" s="55">
        <f>(I12/$I$15)*I29*100</f>
        <v>0.10440818071870232</v>
      </c>
    </row>
    <row r="57" spans="1:8" x14ac:dyDescent="0.2">
      <c r="A57" s="43"/>
      <c r="B57" s="11" t="s">
        <v>17</v>
      </c>
      <c r="C57" s="55">
        <f>(D13/$D$15)*D30*100</f>
        <v>1.9091078762280482</v>
      </c>
      <c r="D57" s="55">
        <f>(E13/$E$15)*E30*100</f>
        <v>2.6723610213417603</v>
      </c>
      <c r="E57" s="55">
        <f>(F13/$F$15)*F30*100</f>
        <v>1.5054144635457936</v>
      </c>
      <c r="F57" s="55">
        <f>(G13/$G$15)*G30*100</f>
        <v>0.70857128823504867</v>
      </c>
      <c r="G57" s="55">
        <f>(H13/$H$15)*H30*100</f>
        <v>0.77246006795080868</v>
      </c>
      <c r="H57" s="55">
        <f>(I13/$I$15)*I30*100</f>
        <v>0.7630097089307315</v>
      </c>
    </row>
    <row r="58" spans="1:8" x14ac:dyDescent="0.2">
      <c r="A58" s="43"/>
      <c r="B58" s="390" t="s">
        <v>258</v>
      </c>
      <c r="C58" s="55" t="e">
        <f>(E13/$E$14)*D31*100</f>
        <v>#DIV/0!</v>
      </c>
      <c r="D58" s="55" t="e">
        <f>(F14/$F$15)*E31*100</f>
        <v>#DIV/0!</v>
      </c>
      <c r="E58" s="55" t="e">
        <f>(G14/$G$15)*F31*100</f>
        <v>#DIV/0!</v>
      </c>
      <c r="F58" s="55" t="e">
        <f>(H14/$H$15)*G31*100</f>
        <v>#DIV/0!</v>
      </c>
      <c r="G58" s="55" t="e">
        <f>(I13/$I$14)*H31*100</f>
        <v>#DIV/0!</v>
      </c>
      <c r="H58" s="55" t="e">
        <f>(J14/$J$15)*I31*100</f>
        <v>#DIV/0!</v>
      </c>
    </row>
    <row r="59" spans="1:8" ht="15" x14ac:dyDescent="0.2">
      <c r="A59" s="96" t="s">
        <v>10</v>
      </c>
      <c r="B59" s="96"/>
      <c r="C59" s="53">
        <f>(D15/$E$15)*D32*100</f>
        <v>3.0906145120780453</v>
      </c>
      <c r="D59" s="53">
        <f>(E15/$E$15)*E32*100</f>
        <v>4.6180033819907651</v>
      </c>
      <c r="E59" s="53">
        <f>(F15/$F$15)*F32*100</f>
        <v>2.8091823562312213</v>
      </c>
      <c r="F59" s="53">
        <f>(G15/$G$15)*G32*100</f>
        <v>1.366722712655255</v>
      </c>
      <c r="G59" s="53">
        <f>(H15/$H$15)*H32*100</f>
        <v>1.4599316454339428</v>
      </c>
      <c r="H59" s="53">
        <f>(I15/$I$15)*I32*100</f>
        <v>1.4474080053055616</v>
      </c>
    </row>
    <row r="61" spans="1:8" x14ac:dyDescent="0.2">
      <c r="A61"/>
      <c r="C61"/>
    </row>
    <row r="62" spans="1:8" x14ac:dyDescent="0.2">
      <c r="A62" s="172" t="s">
        <v>135</v>
      </c>
    </row>
  </sheetData>
  <mergeCells count="5">
    <mergeCell ref="A1:B1"/>
    <mergeCell ref="A19:B19"/>
    <mergeCell ref="F1:J1"/>
    <mergeCell ref="D1:E1"/>
    <mergeCell ref="E19:I19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Prévisions SA</vt:lpstr>
      <vt:lpstr>EFFECTIFS</vt:lpstr>
      <vt:lpstr>TableauxNote</vt:lpstr>
      <vt:lpstr>Détail CHG PDT</vt:lpstr>
      <vt:lpstr>RESULTAT NET</vt:lpstr>
      <vt:lpstr>RETRAITE</vt:lpstr>
      <vt:lpstr>TCDC SA (Charges)</vt:lpstr>
      <vt:lpstr>CHARGES_PRODUITS</vt:lpstr>
      <vt:lpstr>Prest._cotisa.</vt:lpstr>
      <vt:lpstr>SOLDES</vt:lpstr>
      <vt:lpstr>Masse Salariale</vt:lpstr>
    </vt:vector>
  </TitlesOfParts>
  <Company>GETIMA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guerin.vanessa@MSAInstitution.onmicrosoft.com</dc:creator>
  <cp:lastModifiedBy>Claudine Gaillard</cp:lastModifiedBy>
  <dcterms:created xsi:type="dcterms:W3CDTF">2008-09-30T09:54:10Z</dcterms:created>
  <dcterms:modified xsi:type="dcterms:W3CDTF">2024-03-07T08:42:19Z</dcterms:modified>
</cp:coreProperties>
</file>