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bilan financier NSA 2022_1er sept\A diffuser\"/>
    </mc:Choice>
  </mc:AlternateContent>
  <xr:revisionPtr revIDLastSave="0" documentId="13_ncr:1_{187702D9-CDE2-4D3B-9CAD-782058F6843C}" xr6:coauthVersionLast="47" xr6:coauthVersionMax="47" xr10:uidLastSave="{00000000-0000-0000-0000-000000000000}"/>
  <bookViews>
    <workbookView xWindow="-110" yWindow="-110" windowWidth="17020" windowHeight="10120" tabRatio="758" xr2:uid="{00000000-000D-0000-FFFF-FFFF00000000}"/>
  </bookViews>
  <sheets>
    <sheet name="Bilan NSA" sheetId="13" r:id="rId1"/>
    <sheet name="COMPTES NSA (Chiffres Utiles)ok" sheetId="5" r:id="rId2"/>
    <sheet name="NSA1 ok" sheetId="1" r:id="rId3"/>
    <sheet name="Effectifs ok" sheetId="2" r:id="rId4"/>
    <sheet name="%charges ok" sheetId="6" r:id="rId5"/>
    <sheet name="%produits ok" sheetId="7" r:id="rId6"/>
    <sheet name="%produitsRetraite ok" sheetId="11" r:id="rId7"/>
    <sheet name="%produitsRCO ok" sheetId="12" r:id="rId8"/>
    <sheet name="Résultat net ok" sheetId="9" r:id="rId9"/>
    <sheet name="Charges techniques" sheetId="10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'COMPTES NSA (Chiffres Utiles)ok'!$A$1:$L$58,'COMPTES NSA (Chiffres Utiles)ok'!$N$1:$Y$78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7" l="1"/>
  <c r="C27" i="9"/>
  <c r="B27" i="9"/>
  <c r="C26" i="9"/>
  <c r="B26" i="9"/>
  <c r="G27" i="2"/>
  <c r="G26" i="2"/>
  <c r="G25" i="2"/>
  <c r="E24" i="2"/>
  <c r="G24" i="2" l="1"/>
  <c r="H4" i="2"/>
  <c r="C45" i="1" l="1"/>
  <c r="B45" i="1"/>
  <c r="C46" i="1"/>
  <c r="B46" i="1"/>
  <c r="C47" i="1"/>
  <c r="B47" i="1"/>
  <c r="C48" i="1"/>
  <c r="B48" i="1"/>
  <c r="C49" i="1"/>
  <c r="B49" i="1"/>
  <c r="C42" i="1"/>
  <c r="B42" i="1"/>
  <c r="C40" i="1"/>
  <c r="B40" i="1"/>
  <c r="C33" i="1"/>
  <c r="B33" i="1"/>
  <c r="C31" i="1"/>
  <c r="B31" i="1"/>
  <c r="C30" i="1"/>
  <c r="B30" i="1"/>
  <c r="C28" i="1"/>
  <c r="B28" i="1"/>
  <c r="C17" i="1"/>
  <c r="B17" i="1"/>
  <c r="C9" i="1"/>
  <c r="B9" i="1"/>
  <c r="C8" i="1"/>
  <c r="B8" i="1"/>
  <c r="C16" i="1"/>
  <c r="B16" i="1"/>
  <c r="C15" i="1"/>
  <c r="B15" i="1"/>
  <c r="C7" i="1"/>
  <c r="B7" i="1"/>
  <c r="C13" i="1"/>
  <c r="B13" i="1"/>
  <c r="C6" i="1"/>
  <c r="B6" i="1"/>
  <c r="C14" i="1"/>
  <c r="B14" i="1"/>
  <c r="C5" i="1"/>
  <c r="B5" i="1"/>
  <c r="C12" i="1"/>
  <c r="B12" i="1"/>
  <c r="C4" i="1"/>
  <c r="B4" i="1"/>
  <c r="Q21" i="5" l="1"/>
  <c r="R21" i="5"/>
  <c r="Q22" i="5"/>
  <c r="R22" i="5"/>
  <c r="Q23" i="5"/>
  <c r="R23" i="5"/>
  <c r="Q24" i="5"/>
  <c r="R24" i="5"/>
  <c r="H27" i="2" l="1"/>
  <c r="H26" i="2"/>
  <c r="H25" i="2"/>
  <c r="I16" i="1" l="1"/>
  <c r="Q33" i="5" l="1"/>
  <c r="R33" i="5"/>
  <c r="G21" i="2"/>
  <c r="E12" i="1" l="1"/>
  <c r="G20" i="2" l="1"/>
  <c r="G18" i="2" l="1"/>
  <c r="G17" i="2" l="1"/>
  <c r="G16" i="2" l="1"/>
  <c r="G15" i="2"/>
  <c r="F27" i="2"/>
  <c r="F25" i="2"/>
  <c r="F26" i="2"/>
  <c r="H24" i="2"/>
  <c r="C10" i="11" l="1"/>
  <c r="H16" i="1" l="1"/>
  <c r="C11" i="1" l="1"/>
  <c r="D25" i="2"/>
  <c r="D26" i="2"/>
  <c r="D27" i="2"/>
  <c r="B24" i="2"/>
  <c r="C24" i="2"/>
  <c r="F24" i="2" s="1"/>
  <c r="F21" i="2"/>
  <c r="J16" i="1" l="1"/>
  <c r="D24" i="2"/>
  <c r="B42" i="7" l="1"/>
  <c r="B43" i="7"/>
  <c r="B15" i="9" l="1"/>
  <c r="B9" i="9"/>
  <c r="F20" i="2" l="1"/>
  <c r="F17" i="2" l="1"/>
  <c r="F18" i="2"/>
  <c r="F16" i="2"/>
  <c r="F15" i="2"/>
  <c r="C19" i="1"/>
  <c r="B3" i="1" l="1"/>
  <c r="F3" i="5"/>
  <c r="G3" i="5" s="1"/>
  <c r="H3" i="5" s="1"/>
  <c r="I3" i="5" s="1"/>
  <c r="C5" i="9" l="1"/>
  <c r="C8" i="9"/>
  <c r="C6" i="9"/>
  <c r="C9" i="9"/>
  <c r="C42" i="7"/>
  <c r="C10" i="9" l="1"/>
  <c r="D16" i="2"/>
  <c r="D17" i="2" l="1"/>
  <c r="E20" i="2" l="1"/>
  <c r="E15" i="2" l="1"/>
  <c r="C3" i="2" l="1"/>
  <c r="D3" i="2" s="1"/>
  <c r="E3" i="2" s="1"/>
  <c r="F3" i="2" s="1"/>
  <c r="G3" i="2" s="1"/>
  <c r="H3" i="2" s="1"/>
  <c r="B23" i="1"/>
  <c r="C3" i="1" l="1"/>
  <c r="C7" i="12"/>
  <c r="B7" i="12"/>
  <c r="E8" i="12"/>
  <c r="E3" i="12"/>
  <c r="E7" i="12" l="1"/>
  <c r="E4" i="12"/>
  <c r="E8" i="11" l="1"/>
  <c r="E3" i="11"/>
  <c r="C7" i="11" l="1"/>
  <c r="B7" i="11"/>
  <c r="E7" i="11" l="1"/>
  <c r="C9" i="12" l="1"/>
  <c r="B9" i="12"/>
  <c r="Y38" i="5"/>
  <c r="X38" i="5"/>
  <c r="W38" i="5"/>
  <c r="Y37" i="5"/>
  <c r="X37" i="5"/>
  <c r="W37" i="5"/>
  <c r="Y36" i="5"/>
  <c r="X36" i="5"/>
  <c r="W36" i="5"/>
  <c r="E9" i="12" l="1"/>
  <c r="P33" i="5"/>
  <c r="W35" i="5"/>
  <c r="W34" i="5"/>
  <c r="O33" i="5"/>
  <c r="B2" i="11"/>
  <c r="B9" i="11"/>
  <c r="B2" i="12"/>
  <c r="X35" i="5"/>
  <c r="B44" i="12" l="1"/>
  <c r="B5" i="12"/>
  <c r="B10" i="12"/>
  <c r="B45" i="12"/>
  <c r="B42" i="12"/>
  <c r="B43" i="12"/>
  <c r="W33" i="5"/>
  <c r="B39" i="11"/>
  <c r="B41" i="11"/>
  <c r="B5" i="11"/>
  <c r="B40" i="11"/>
  <c r="B10" i="11"/>
  <c r="B38" i="11"/>
  <c r="B12" i="9"/>
  <c r="X34" i="5"/>
  <c r="X33" i="5"/>
  <c r="F3" i="12" l="1"/>
  <c r="F7" i="12"/>
  <c r="F8" i="12"/>
  <c r="B6" i="12"/>
  <c r="F4" i="12"/>
  <c r="F9" i="12"/>
  <c r="F8" i="11"/>
  <c r="F3" i="11"/>
  <c r="F7" i="11"/>
  <c r="C11" i="10" l="1"/>
  <c r="D6" i="10" s="1"/>
  <c r="B11" i="10"/>
  <c r="D3" i="10" l="1"/>
  <c r="D7" i="10"/>
  <c r="D2" i="10"/>
  <c r="D5" i="10"/>
  <c r="D9" i="10"/>
  <c r="D4" i="10"/>
  <c r="D10" i="10"/>
  <c r="D8" i="10"/>
  <c r="D11" i="10" l="1"/>
  <c r="C7" i="7"/>
  <c r="C3" i="7"/>
  <c r="B4" i="7"/>
  <c r="C4" i="7"/>
  <c r="A21" i="2" l="1"/>
  <c r="C28" i="9" l="1"/>
  <c r="B28" i="9"/>
  <c r="D28" i="9" l="1"/>
  <c r="D27" i="9"/>
  <c r="D26" i="9"/>
  <c r="B44" i="7" l="1"/>
  <c r="B45" i="7"/>
  <c r="C1" i="9" l="1"/>
  <c r="B1" i="9"/>
  <c r="B16" i="2" l="1"/>
  <c r="C16" i="2"/>
  <c r="E16" i="2"/>
  <c r="B17" i="2"/>
  <c r="C17" i="2"/>
  <c r="E17" i="2"/>
  <c r="B18" i="2"/>
  <c r="C18" i="2"/>
  <c r="D18" i="2"/>
  <c r="E18" i="2"/>
  <c r="B20" i="2"/>
  <c r="C20" i="2"/>
  <c r="D20" i="2"/>
  <c r="B21" i="2"/>
  <c r="C21" i="2"/>
  <c r="D21" i="2"/>
  <c r="E21" i="2"/>
  <c r="C15" i="2"/>
  <c r="D15" i="2"/>
  <c r="B15" i="2"/>
  <c r="C3" i="5" l="1"/>
  <c r="D3" i="5" s="1"/>
  <c r="N13" i="5"/>
  <c r="N20" i="5" s="1"/>
  <c r="A14" i="5"/>
  <c r="A21" i="5" s="1"/>
  <c r="A30" i="5" s="1"/>
  <c r="A37" i="5" s="1"/>
  <c r="A44" i="5" s="1"/>
  <c r="A51" i="5" s="1"/>
  <c r="N27" i="5" l="1"/>
  <c r="N41" i="5" s="1"/>
  <c r="N48" i="5" s="1"/>
  <c r="N55" i="5" s="1"/>
  <c r="N62" i="5" s="1"/>
  <c r="N69" i="5" s="1"/>
  <c r="N34" i="5"/>
  <c r="B1" i="6"/>
  <c r="B61" i="5"/>
  <c r="B65" i="5" s="1"/>
  <c r="E3" i="5"/>
  <c r="B8" i="9"/>
  <c r="B10" i="9" s="1"/>
  <c r="B11" i="9"/>
  <c r="B14" i="9"/>
  <c r="B5" i="9"/>
  <c r="B1" i="12" l="1"/>
  <c r="B40" i="12" s="1"/>
  <c r="B1" i="11"/>
  <c r="B36" i="11" s="1"/>
  <c r="B1" i="7"/>
  <c r="B40" i="7" s="1"/>
  <c r="C1" i="6"/>
  <c r="C61" i="5"/>
  <c r="C65" i="5" s="1"/>
  <c r="B6" i="9"/>
  <c r="B7" i="9" s="1"/>
  <c r="B16" i="9"/>
  <c r="B13" i="9"/>
  <c r="C1" i="12" l="1"/>
  <c r="C40" i="12" s="1"/>
  <c r="C1" i="11"/>
  <c r="C36" i="11" s="1"/>
  <c r="C1" i="7"/>
  <c r="C40" i="7" s="1"/>
  <c r="B3" i="7"/>
  <c r="B7" i="7" l="1"/>
  <c r="B41" i="6" l="1"/>
  <c r="B39" i="6"/>
  <c r="B42" i="6"/>
  <c r="B40" i="6"/>
  <c r="C37" i="6"/>
  <c r="B37" i="6"/>
  <c r="W73" i="5" l="1"/>
  <c r="X73" i="5"/>
  <c r="X72" i="5"/>
  <c r="W71" i="5"/>
  <c r="W70" i="5"/>
  <c r="X66" i="5"/>
  <c r="W66" i="5"/>
  <c r="X65" i="5"/>
  <c r="W65" i="5"/>
  <c r="X64" i="5"/>
  <c r="W64" i="5"/>
  <c r="X63" i="5"/>
  <c r="W63" i="5"/>
  <c r="X59" i="5"/>
  <c r="W59" i="5"/>
  <c r="X58" i="5"/>
  <c r="W58" i="5"/>
  <c r="X57" i="5"/>
  <c r="W57" i="5"/>
  <c r="X56" i="5"/>
  <c r="W56" i="5"/>
  <c r="X52" i="5"/>
  <c r="W52" i="5"/>
  <c r="X51" i="5"/>
  <c r="W51" i="5"/>
  <c r="X50" i="5"/>
  <c r="W50" i="5"/>
  <c r="X49" i="5"/>
  <c r="W49" i="5"/>
  <c r="X45" i="5"/>
  <c r="W45" i="5"/>
  <c r="X44" i="5"/>
  <c r="W44" i="5"/>
  <c r="X43" i="5"/>
  <c r="W43" i="5"/>
  <c r="X42" i="5"/>
  <c r="W42" i="5"/>
  <c r="X31" i="5"/>
  <c r="W31" i="5"/>
  <c r="X30" i="5"/>
  <c r="W30" i="5"/>
  <c r="Y29" i="5"/>
  <c r="X29" i="5"/>
  <c r="W29" i="5"/>
  <c r="Y28" i="5"/>
  <c r="X28" i="5"/>
  <c r="W28" i="5"/>
  <c r="Y24" i="5"/>
  <c r="X24" i="5"/>
  <c r="W24" i="5"/>
  <c r="Y23" i="5"/>
  <c r="X23" i="5"/>
  <c r="W23" i="5"/>
  <c r="Y22" i="5"/>
  <c r="X22" i="5"/>
  <c r="W22" i="5"/>
  <c r="Y21" i="5"/>
  <c r="X21" i="5"/>
  <c r="W21" i="5"/>
  <c r="X17" i="5"/>
  <c r="W17" i="5"/>
  <c r="Y16" i="5"/>
  <c r="X16" i="5"/>
  <c r="W16" i="5"/>
  <c r="Y15" i="5"/>
  <c r="X15" i="5"/>
  <c r="W15" i="5"/>
  <c r="X14" i="5"/>
  <c r="W14" i="5"/>
  <c r="X10" i="5"/>
  <c r="W10" i="5"/>
  <c r="X9" i="5"/>
  <c r="W9" i="5"/>
  <c r="X8" i="5"/>
  <c r="W8" i="5"/>
  <c r="X7" i="5"/>
  <c r="W7" i="5"/>
  <c r="R3" i="5"/>
  <c r="V3" i="5" s="1"/>
  <c r="Y3" i="5" s="1"/>
  <c r="Q3" i="5"/>
  <c r="U3" i="5" s="1"/>
  <c r="X3" i="5" s="1"/>
  <c r="P3" i="5"/>
  <c r="T3" i="5" s="1"/>
  <c r="W3" i="5" s="1"/>
  <c r="O3" i="5"/>
  <c r="S3" i="5" s="1"/>
  <c r="K55" i="5"/>
  <c r="J55" i="5"/>
  <c r="K54" i="5"/>
  <c r="J54" i="5"/>
  <c r="K53" i="5"/>
  <c r="J53" i="5"/>
  <c r="K52" i="5"/>
  <c r="J52" i="5"/>
  <c r="K48" i="5"/>
  <c r="J48" i="5"/>
  <c r="K47" i="5"/>
  <c r="J47" i="5"/>
  <c r="K46" i="5"/>
  <c r="J46" i="5"/>
  <c r="K45" i="5"/>
  <c r="J45" i="5"/>
  <c r="K41" i="5"/>
  <c r="J41" i="5"/>
  <c r="K40" i="5"/>
  <c r="J40" i="5"/>
  <c r="K39" i="5"/>
  <c r="J39" i="5"/>
  <c r="K38" i="5"/>
  <c r="J38" i="5"/>
  <c r="K34" i="5"/>
  <c r="J34" i="5"/>
  <c r="K33" i="5"/>
  <c r="J33" i="5"/>
  <c r="K32" i="5"/>
  <c r="J32" i="5"/>
  <c r="K31" i="5"/>
  <c r="J31" i="5"/>
  <c r="K25" i="5"/>
  <c r="J25" i="5"/>
  <c r="K24" i="5"/>
  <c r="J24" i="5"/>
  <c r="K23" i="5"/>
  <c r="J23" i="5"/>
  <c r="K22" i="5"/>
  <c r="J22" i="5"/>
  <c r="K18" i="5"/>
  <c r="J18" i="5"/>
  <c r="K17" i="5"/>
  <c r="J17" i="5"/>
  <c r="K16" i="5"/>
  <c r="J16" i="5"/>
  <c r="K15" i="5"/>
  <c r="J15" i="5"/>
  <c r="K11" i="5"/>
  <c r="J11" i="5"/>
  <c r="K10" i="5"/>
  <c r="J10" i="5"/>
  <c r="K9" i="5"/>
  <c r="J9" i="5"/>
  <c r="K8" i="5"/>
  <c r="J8" i="5"/>
  <c r="L3" i="5"/>
  <c r="K3" i="5"/>
  <c r="J3" i="5"/>
  <c r="X70" i="5" l="1"/>
  <c r="X71" i="5"/>
  <c r="W72" i="5"/>
  <c r="E3" i="7" l="1"/>
  <c r="C4" i="11"/>
  <c r="B19" i="1"/>
  <c r="B4" i="11" s="1"/>
  <c r="B6" i="11" l="1"/>
  <c r="E4" i="11"/>
  <c r="F4" i="11" s="1"/>
  <c r="E19" i="1"/>
  <c r="E4" i="7"/>
  <c r="E7" i="7"/>
  <c r="E15" i="1" l="1"/>
  <c r="E16" i="1"/>
  <c r="E17" i="1"/>
  <c r="E13" i="1" l="1"/>
  <c r="B11" i="1" l="1"/>
  <c r="E11" i="1" s="1"/>
  <c r="B5" i="7" l="1"/>
  <c r="F17" i="1"/>
  <c r="F15" i="1"/>
  <c r="F13" i="1"/>
  <c r="F12" i="1"/>
  <c r="F16" i="1"/>
  <c r="E14" i="1"/>
  <c r="F14" i="1" s="1"/>
  <c r="D14" i="1"/>
  <c r="L16" i="1" l="1"/>
  <c r="D12" i="1"/>
  <c r="C5" i="7"/>
  <c r="F11" i="1"/>
  <c r="D15" i="1"/>
  <c r="D16" i="1"/>
  <c r="D17" i="1"/>
  <c r="D13" i="1"/>
  <c r="K16" i="1"/>
  <c r="E5" i="7" l="1"/>
  <c r="E9" i="1" l="1"/>
  <c r="E6" i="1" l="1"/>
  <c r="E8" i="1" l="1"/>
  <c r="H8" i="1"/>
  <c r="D8" i="1"/>
  <c r="E4" i="1"/>
  <c r="E7" i="1"/>
  <c r="I8" i="1" l="1"/>
  <c r="K8" i="1" s="1"/>
  <c r="D7" i="1"/>
  <c r="B2" i="6"/>
  <c r="F9" i="1"/>
  <c r="F8" i="1"/>
  <c r="F7" i="1"/>
  <c r="F6" i="1"/>
  <c r="E5" i="1"/>
  <c r="F5" i="1" s="1"/>
  <c r="D5" i="1"/>
  <c r="F4" i="1"/>
  <c r="D4" i="1"/>
  <c r="E3" i="1"/>
  <c r="F3" i="1" s="1"/>
  <c r="C2" i="6"/>
  <c r="D9" i="1"/>
  <c r="D6" i="1"/>
  <c r="J8" i="1" l="1"/>
  <c r="L8" i="1"/>
  <c r="E2" i="6"/>
  <c r="Y71" i="5" l="1"/>
  <c r="Y57" i="5" l="1"/>
  <c r="Y50" i="5"/>
  <c r="L38" i="5"/>
  <c r="C40" i="6" l="1"/>
  <c r="L9" i="5"/>
  <c r="C11" i="9"/>
  <c r="L33" i="5"/>
  <c r="L45" i="5"/>
  <c r="L55" i="5"/>
  <c r="C38" i="11"/>
  <c r="C42" i="12"/>
  <c r="Y8" i="5"/>
  <c r="Y45" i="5"/>
  <c r="Y64" i="5"/>
  <c r="C14" i="9"/>
  <c r="L10" i="5"/>
  <c r="L34" i="5"/>
  <c r="L46" i="5"/>
  <c r="C9" i="11"/>
  <c r="Y17" i="5"/>
  <c r="Y42" i="5"/>
  <c r="Y51" i="5"/>
  <c r="Y56" i="5"/>
  <c r="Y65" i="5"/>
  <c r="C41" i="6"/>
  <c r="L11" i="5"/>
  <c r="L17" i="5"/>
  <c r="L23" i="5"/>
  <c r="L31" i="5"/>
  <c r="L41" i="5"/>
  <c r="L47" i="5"/>
  <c r="L53" i="5"/>
  <c r="C5" i="11"/>
  <c r="C40" i="11"/>
  <c r="C44" i="12"/>
  <c r="C44" i="7"/>
  <c r="Y10" i="5"/>
  <c r="Y34" i="5"/>
  <c r="Y43" i="5"/>
  <c r="Y52" i="5"/>
  <c r="Y66" i="5"/>
  <c r="Y72" i="5"/>
  <c r="L15" i="5"/>
  <c r="L25" i="5"/>
  <c r="L39" i="5"/>
  <c r="Y14" i="5"/>
  <c r="C2" i="12"/>
  <c r="Y30" i="5"/>
  <c r="Y59" i="5"/>
  <c r="L16" i="5"/>
  <c r="L22" i="5"/>
  <c r="L40" i="5"/>
  <c r="L52" i="5"/>
  <c r="C45" i="12"/>
  <c r="C41" i="11"/>
  <c r="C5" i="12"/>
  <c r="C10" i="12"/>
  <c r="C45" i="7"/>
  <c r="C15" i="9"/>
  <c r="Y9" i="5"/>
  <c r="C2" i="11"/>
  <c r="E2" i="11" s="1"/>
  <c r="F2" i="11" s="1"/>
  <c r="Y31" i="5"/>
  <c r="Y70" i="5"/>
  <c r="L8" i="5"/>
  <c r="C39" i="6"/>
  <c r="L18" i="5"/>
  <c r="L24" i="5"/>
  <c r="L32" i="5"/>
  <c r="L48" i="5"/>
  <c r="L54" i="5"/>
  <c r="C42" i="6"/>
  <c r="C12" i="9"/>
  <c r="C43" i="12"/>
  <c r="C43" i="7"/>
  <c r="C39" i="11"/>
  <c r="Y7" i="5"/>
  <c r="Y35" i="5"/>
  <c r="Y44" i="5"/>
  <c r="Y49" i="5"/>
  <c r="Y58" i="5"/>
  <c r="Y63" i="5"/>
  <c r="Y73" i="5"/>
  <c r="C6" i="11" l="1"/>
  <c r="C7" i="9"/>
  <c r="C16" i="9"/>
  <c r="E39" i="11"/>
  <c r="E42" i="7"/>
  <c r="D2" i="11"/>
  <c r="E10" i="11"/>
  <c r="F10" i="11" s="1"/>
  <c r="D8" i="11"/>
  <c r="D3" i="11"/>
  <c r="D7" i="11"/>
  <c r="D4" i="11"/>
  <c r="E43" i="12"/>
  <c r="E41" i="11"/>
  <c r="E44" i="12"/>
  <c r="E42" i="12"/>
  <c r="E42" i="6"/>
  <c r="D3" i="12"/>
  <c r="D9" i="12"/>
  <c r="C6" i="12"/>
  <c r="D7" i="12"/>
  <c r="E10" i="12"/>
  <c r="F10" i="12" s="1"/>
  <c r="D4" i="12"/>
  <c r="D8" i="12"/>
  <c r="E2" i="12"/>
  <c r="F2" i="12" s="1"/>
  <c r="D2" i="12"/>
  <c r="E5" i="11"/>
  <c r="F5" i="11" s="1"/>
  <c r="D5" i="11"/>
  <c r="E43" i="7"/>
  <c r="D5" i="12"/>
  <c r="E5" i="12"/>
  <c r="F5" i="12" s="1"/>
  <c r="Y33" i="5"/>
  <c r="C13" i="9"/>
  <c r="E39" i="6"/>
  <c r="E45" i="7"/>
  <c r="E45" i="12"/>
  <c r="E44" i="7"/>
  <c r="E40" i="11"/>
  <c r="E41" i="6"/>
  <c r="E9" i="11"/>
  <c r="F9" i="11" s="1"/>
  <c r="D9" i="11"/>
  <c r="E38" i="11"/>
  <c r="E40" i="6"/>
  <c r="N49" i="7" l="1"/>
  <c r="D6" i="12"/>
  <c r="D10" i="12" s="1"/>
  <c r="E6" i="12"/>
  <c r="F6" i="12" s="1"/>
  <c r="M45" i="6"/>
  <c r="E6" i="11"/>
  <c r="F6" i="11" s="1"/>
  <c r="D6" i="11"/>
  <c r="D10" i="11" s="1"/>
  <c r="N30" i="11"/>
  <c r="L51" i="12"/>
  <c r="L30" i="11"/>
  <c r="K30" i="11"/>
  <c r="M30" i="11"/>
  <c r="N51" i="12"/>
  <c r="J45" i="6"/>
  <c r="M51" i="12"/>
  <c r="K45" i="6"/>
  <c r="M49" i="7"/>
  <c r="K49" i="7"/>
  <c r="L49" i="7"/>
  <c r="L45" i="6"/>
  <c r="K51" i="12"/>
  <c r="C23" i="1" l="1"/>
  <c r="O69" i="5" l="1"/>
  <c r="P69" i="5"/>
  <c r="Q69" i="5"/>
  <c r="R69" i="5"/>
  <c r="O62" i="5"/>
  <c r="P62" i="5"/>
  <c r="Q62" i="5"/>
  <c r="R62" i="5"/>
  <c r="O55" i="5"/>
  <c r="P55" i="5"/>
  <c r="Q55" i="5"/>
  <c r="R55" i="5"/>
  <c r="O48" i="5"/>
  <c r="P48" i="5"/>
  <c r="Q48" i="5"/>
  <c r="R48" i="5"/>
  <c r="O41" i="5"/>
  <c r="P41" i="5"/>
  <c r="Q41" i="5"/>
  <c r="R41" i="5"/>
  <c r="O27" i="5"/>
  <c r="P27" i="5"/>
  <c r="Q27" i="5"/>
  <c r="R27" i="5"/>
  <c r="O20" i="5"/>
  <c r="O19" i="5" s="1"/>
  <c r="P20" i="5"/>
  <c r="Q20" i="5"/>
  <c r="R20" i="5"/>
  <c r="O13" i="5"/>
  <c r="P13" i="5"/>
  <c r="Q13" i="5"/>
  <c r="R13" i="5"/>
  <c r="O6" i="5"/>
  <c r="P6" i="5"/>
  <c r="Q6" i="5"/>
  <c r="R6" i="5"/>
  <c r="B51" i="5"/>
  <c r="E51" i="5"/>
  <c r="B37" i="5"/>
  <c r="C37" i="5"/>
  <c r="D37" i="5"/>
  <c r="E37" i="5"/>
  <c r="B21" i="5"/>
  <c r="E21" i="5"/>
  <c r="B14" i="5"/>
  <c r="C14" i="5"/>
  <c r="D14" i="5"/>
  <c r="E14" i="5"/>
  <c r="D44" i="5" l="1"/>
  <c r="O5" i="5"/>
  <c r="S6" i="5" s="1"/>
  <c r="P19" i="5"/>
  <c r="W20" i="5"/>
  <c r="R47" i="5"/>
  <c r="V48" i="5" s="1"/>
  <c r="Y48" i="5"/>
  <c r="B7" i="5"/>
  <c r="D13" i="5"/>
  <c r="H14" i="5" s="1"/>
  <c r="K14" i="5"/>
  <c r="E20" i="5"/>
  <c r="D30" i="5"/>
  <c r="L37" i="5"/>
  <c r="E36" i="5"/>
  <c r="C44" i="5"/>
  <c r="P26" i="5"/>
  <c r="T27" i="5" s="1"/>
  <c r="W27" i="5"/>
  <c r="Y41" i="5"/>
  <c r="R40" i="5"/>
  <c r="X48" i="5"/>
  <c r="Q47" i="5"/>
  <c r="U48" i="5" s="1"/>
  <c r="R54" i="5"/>
  <c r="Y55" i="5"/>
  <c r="V55" i="5"/>
  <c r="O61" i="5"/>
  <c r="O68" i="5"/>
  <c r="S69" i="5" s="1"/>
  <c r="E13" i="5"/>
  <c r="I14" i="5" s="1"/>
  <c r="L14" i="5"/>
  <c r="B50" i="5"/>
  <c r="F51" i="5" s="1"/>
  <c r="Q26" i="5"/>
  <c r="U27" i="5" s="1"/>
  <c r="X27" i="5"/>
  <c r="E7" i="5"/>
  <c r="J14" i="5"/>
  <c r="C13" i="5"/>
  <c r="G14" i="5" s="1"/>
  <c r="D21" i="5"/>
  <c r="C30" i="5"/>
  <c r="K37" i="5"/>
  <c r="D36" i="5"/>
  <c r="H37" i="5" s="1"/>
  <c r="E44" i="5"/>
  <c r="B44" i="5"/>
  <c r="D51" i="5"/>
  <c r="R5" i="5"/>
  <c r="Y6" i="5"/>
  <c r="C37" i="11"/>
  <c r="C3" i="9"/>
  <c r="C41" i="12"/>
  <c r="C41" i="7"/>
  <c r="B41" i="7"/>
  <c r="B3" i="9"/>
  <c r="B41" i="12"/>
  <c r="B37" i="11"/>
  <c r="Q5" i="5"/>
  <c r="X6" i="5"/>
  <c r="Y13" i="5"/>
  <c r="R12" i="5"/>
  <c r="V13" i="5" s="1"/>
  <c r="Q12" i="5"/>
  <c r="U13" i="5" s="1"/>
  <c r="X13" i="5"/>
  <c r="C8" i="7"/>
  <c r="R19" i="5"/>
  <c r="Y20" i="5"/>
  <c r="O26" i="5"/>
  <c r="S27" i="5" s="1"/>
  <c r="Q40" i="5"/>
  <c r="U41" i="5" s="1"/>
  <c r="X41" i="5"/>
  <c r="P47" i="5"/>
  <c r="T48" i="5" s="1"/>
  <c r="W48" i="5"/>
  <c r="Q54" i="5"/>
  <c r="X55" i="5"/>
  <c r="R61" i="5"/>
  <c r="V62" i="5" s="1"/>
  <c r="Y62" i="5"/>
  <c r="C7" i="5"/>
  <c r="B20" i="5"/>
  <c r="F21" i="5" s="1"/>
  <c r="B36" i="5"/>
  <c r="L51" i="5"/>
  <c r="E50" i="5"/>
  <c r="O12" i="5"/>
  <c r="O40" i="5"/>
  <c r="S41" i="5" s="1"/>
  <c r="O54" i="5"/>
  <c r="P61" i="5"/>
  <c r="T62" i="5" s="1"/>
  <c r="W62" i="5"/>
  <c r="P68" i="5"/>
  <c r="T69" i="5" s="1"/>
  <c r="W69" i="5"/>
  <c r="D7" i="5"/>
  <c r="B13" i="5"/>
  <c r="F14" i="5"/>
  <c r="C21" i="5"/>
  <c r="E30" i="5"/>
  <c r="B30" i="5"/>
  <c r="C36" i="5"/>
  <c r="G37" i="5" s="1"/>
  <c r="J37" i="5"/>
  <c r="C51" i="5"/>
  <c r="P5" i="5"/>
  <c r="T6" i="5" s="1"/>
  <c r="W6" i="5"/>
  <c r="P12" i="5"/>
  <c r="T13" i="5" s="1"/>
  <c r="W13" i="5"/>
  <c r="Q19" i="5"/>
  <c r="X20" i="5"/>
  <c r="Y27" i="5"/>
  <c r="R26" i="5"/>
  <c r="V27" i="5" s="1"/>
  <c r="P40" i="5"/>
  <c r="T41" i="5" s="1"/>
  <c r="W41" i="5"/>
  <c r="O47" i="5"/>
  <c r="P54" i="5"/>
  <c r="W55" i="5"/>
  <c r="Q61" i="5"/>
  <c r="U62" i="5" s="1"/>
  <c r="X62" i="5"/>
  <c r="Y69" i="5"/>
  <c r="R68" i="5"/>
  <c r="V69" i="5" s="1"/>
  <c r="Q68" i="5"/>
  <c r="X69" i="5"/>
  <c r="T59" i="5" l="1"/>
  <c r="T57" i="5"/>
  <c r="T56" i="5"/>
  <c r="W54" i="5"/>
  <c r="T55" i="5"/>
  <c r="S49" i="5"/>
  <c r="S52" i="5"/>
  <c r="S50" i="5"/>
  <c r="B8" i="7"/>
  <c r="E8" i="7" s="1"/>
  <c r="X19" i="5"/>
  <c r="L30" i="5"/>
  <c r="E29" i="5"/>
  <c r="D5" i="5"/>
  <c r="B38" i="6"/>
  <c r="B2" i="9"/>
  <c r="B17" i="9" s="1"/>
  <c r="K7" i="5"/>
  <c r="H7" i="5"/>
  <c r="S56" i="5"/>
  <c r="S59" i="5"/>
  <c r="S57" i="5"/>
  <c r="S17" i="5"/>
  <c r="S14" i="5"/>
  <c r="S15" i="5"/>
  <c r="F41" i="5"/>
  <c r="F38" i="5"/>
  <c r="F39" i="5"/>
  <c r="T52" i="5"/>
  <c r="T50" i="5"/>
  <c r="T49" i="5"/>
  <c r="W47" i="5"/>
  <c r="B4" i="9"/>
  <c r="B18" i="9"/>
  <c r="C18" i="9"/>
  <c r="V16" i="5"/>
  <c r="V10" i="5"/>
  <c r="V37" i="5"/>
  <c r="V51" i="5"/>
  <c r="V44" i="5"/>
  <c r="V23" i="5"/>
  <c r="Y5" i="5"/>
  <c r="V8" i="5"/>
  <c r="V65" i="5"/>
  <c r="V58" i="5"/>
  <c r="V30" i="5"/>
  <c r="V72" i="5"/>
  <c r="V7" i="5"/>
  <c r="V9" i="5"/>
  <c r="R75" i="5"/>
  <c r="V5" i="5" s="1"/>
  <c r="D20" i="5"/>
  <c r="H21" i="5" s="1"/>
  <c r="K21" i="5"/>
  <c r="C2" i="9"/>
  <c r="C17" i="9" s="1"/>
  <c r="E5" i="5"/>
  <c r="I7" i="5" s="1"/>
  <c r="L7" i="5"/>
  <c r="C38" i="6"/>
  <c r="I16" i="5"/>
  <c r="I18" i="5"/>
  <c r="L13" i="5"/>
  <c r="I15" i="5"/>
  <c r="S63" i="5"/>
  <c r="S66" i="5"/>
  <c r="S64" i="5"/>
  <c r="V35" i="5"/>
  <c r="Y40" i="5"/>
  <c r="V45" i="5"/>
  <c r="V34" i="5"/>
  <c r="V36" i="5"/>
  <c r="V38" i="5"/>
  <c r="V42" i="5"/>
  <c r="V43" i="5"/>
  <c r="T31" i="5"/>
  <c r="T28" i="5"/>
  <c r="W26" i="5"/>
  <c r="T29" i="5"/>
  <c r="W19" i="5"/>
  <c r="U73" i="5"/>
  <c r="U70" i="5"/>
  <c r="X68" i="5"/>
  <c r="U71" i="5"/>
  <c r="C18" i="1"/>
  <c r="V31" i="5"/>
  <c r="C2" i="7"/>
  <c r="Y26" i="5"/>
  <c r="V29" i="5"/>
  <c r="V28" i="5"/>
  <c r="C20" i="5"/>
  <c r="J21" i="5"/>
  <c r="I51" i="5"/>
  <c r="I53" i="5"/>
  <c r="I52" i="5"/>
  <c r="C5" i="6"/>
  <c r="I55" i="5"/>
  <c r="U59" i="5"/>
  <c r="U57" i="5"/>
  <c r="U56" i="5"/>
  <c r="X54" i="5"/>
  <c r="S28" i="5"/>
  <c r="S29" i="5"/>
  <c r="S31" i="5"/>
  <c r="V14" i="5"/>
  <c r="V15" i="5"/>
  <c r="C20" i="1"/>
  <c r="C9" i="7"/>
  <c r="V17" i="5"/>
  <c r="Y12" i="5"/>
  <c r="U72" i="5"/>
  <c r="U51" i="5"/>
  <c r="X5" i="5"/>
  <c r="U44" i="5"/>
  <c r="U37" i="5"/>
  <c r="U23" i="5"/>
  <c r="U7" i="5"/>
  <c r="U9" i="5"/>
  <c r="U65" i="5"/>
  <c r="U58" i="5"/>
  <c r="Q75" i="5"/>
  <c r="U54" i="5" s="1"/>
  <c r="U16" i="5"/>
  <c r="U10" i="5"/>
  <c r="U30" i="5"/>
  <c r="U8" i="5"/>
  <c r="B46" i="7"/>
  <c r="C42" i="11"/>
  <c r="E37" i="11"/>
  <c r="J30" i="11" s="1"/>
  <c r="D50" i="5"/>
  <c r="H51" i="5" s="1"/>
  <c r="K51" i="5"/>
  <c r="K36" i="5"/>
  <c r="H39" i="5"/>
  <c r="B7" i="6"/>
  <c r="H41" i="5"/>
  <c r="H38" i="5"/>
  <c r="F55" i="5"/>
  <c r="F52" i="5"/>
  <c r="F53" i="5"/>
  <c r="U50" i="5"/>
  <c r="X47" i="5"/>
  <c r="U52" i="5"/>
  <c r="U49" i="5"/>
  <c r="K30" i="5"/>
  <c r="D29" i="5"/>
  <c r="H30" i="5" s="1"/>
  <c r="P75" i="5"/>
  <c r="T51" i="5"/>
  <c r="T16" i="5"/>
  <c r="T23" i="5"/>
  <c r="T8" i="5"/>
  <c r="T37" i="5"/>
  <c r="T44" i="5"/>
  <c r="T9" i="5"/>
  <c r="T7" i="5"/>
  <c r="T72" i="5"/>
  <c r="T65" i="5"/>
  <c r="T30" i="5"/>
  <c r="W5" i="5"/>
  <c r="T10" i="5"/>
  <c r="T58" i="5"/>
  <c r="G38" i="5"/>
  <c r="G39" i="5"/>
  <c r="J36" i="5"/>
  <c r="G41" i="5"/>
  <c r="T66" i="5"/>
  <c r="W61" i="5"/>
  <c r="T63" i="5"/>
  <c r="T64" i="5"/>
  <c r="S36" i="5"/>
  <c r="S35" i="5"/>
  <c r="S42" i="5"/>
  <c r="S43" i="5"/>
  <c r="S34" i="5"/>
  <c r="S38" i="5"/>
  <c r="S45" i="5"/>
  <c r="F25" i="5"/>
  <c r="F23" i="5"/>
  <c r="F22" i="5"/>
  <c r="V63" i="5"/>
  <c r="V66" i="5"/>
  <c r="V64" i="5"/>
  <c r="Y61" i="5"/>
  <c r="B42" i="11"/>
  <c r="C46" i="7"/>
  <c r="D41" i="7" s="1"/>
  <c r="E41" i="7"/>
  <c r="J49" i="7" s="1"/>
  <c r="B43" i="5"/>
  <c r="G15" i="5"/>
  <c r="G16" i="5"/>
  <c r="G18" i="5"/>
  <c r="J13" i="5"/>
  <c r="S71" i="5"/>
  <c r="S73" i="5"/>
  <c r="S70" i="5"/>
  <c r="J44" i="5"/>
  <c r="C43" i="5"/>
  <c r="G44" i="5" s="1"/>
  <c r="L21" i="5"/>
  <c r="H15" i="5"/>
  <c r="D27" i="5"/>
  <c r="H18" i="5"/>
  <c r="K13" i="5"/>
  <c r="H16" i="5"/>
  <c r="V49" i="5"/>
  <c r="V52" i="5"/>
  <c r="Y47" i="5"/>
  <c r="V50" i="5"/>
  <c r="S30" i="5"/>
  <c r="O75" i="5"/>
  <c r="S54" i="5" s="1"/>
  <c r="S10" i="5"/>
  <c r="S8" i="5"/>
  <c r="S51" i="5"/>
  <c r="S72" i="5"/>
  <c r="S44" i="5"/>
  <c r="S9" i="5"/>
  <c r="S7" i="5"/>
  <c r="S23" i="5"/>
  <c r="S65" i="5"/>
  <c r="S16" i="5"/>
  <c r="S37" i="5"/>
  <c r="S58" i="5"/>
  <c r="U69" i="5"/>
  <c r="V71" i="5"/>
  <c r="V70" i="5"/>
  <c r="V73" i="5"/>
  <c r="Y68" i="5"/>
  <c r="U66" i="5"/>
  <c r="U64" i="5"/>
  <c r="U63" i="5"/>
  <c r="X61" i="5"/>
  <c r="S48" i="5"/>
  <c r="T36" i="5"/>
  <c r="T42" i="5"/>
  <c r="W40" i="5"/>
  <c r="T38" i="5"/>
  <c r="T35" i="5"/>
  <c r="T34" i="5"/>
  <c r="T43" i="5"/>
  <c r="T45" i="5"/>
  <c r="T17" i="5"/>
  <c r="T14" i="5"/>
  <c r="T15" i="5"/>
  <c r="W12" i="5"/>
  <c r="C50" i="5"/>
  <c r="J51" i="5"/>
  <c r="B29" i="5"/>
  <c r="F30" i="5" s="1"/>
  <c r="B27" i="5"/>
  <c r="F15" i="5"/>
  <c r="F18" i="5"/>
  <c r="F16" i="5"/>
  <c r="T73" i="5"/>
  <c r="T71" i="5"/>
  <c r="W68" i="5"/>
  <c r="T70" i="5"/>
  <c r="S55" i="5"/>
  <c r="S13" i="5"/>
  <c r="F37" i="5"/>
  <c r="C5" i="5"/>
  <c r="G7" i="5" s="1"/>
  <c r="J7" i="5"/>
  <c r="U55" i="5"/>
  <c r="U38" i="5"/>
  <c r="U45" i="5"/>
  <c r="U34" i="5"/>
  <c r="X40" i="5"/>
  <c r="U35" i="5"/>
  <c r="U42" i="5"/>
  <c r="U43" i="5"/>
  <c r="U36" i="5"/>
  <c r="Y19" i="5"/>
  <c r="B20" i="1"/>
  <c r="B9" i="7"/>
  <c r="U14" i="5"/>
  <c r="U15" i="5"/>
  <c r="X12" i="5"/>
  <c r="U17" i="5"/>
  <c r="U6" i="5"/>
  <c r="B46" i="12"/>
  <c r="E41" i="12"/>
  <c r="J51" i="12" s="1"/>
  <c r="C46" i="12"/>
  <c r="V6" i="5"/>
  <c r="E43" i="5"/>
  <c r="L44" i="5"/>
  <c r="J30" i="5"/>
  <c r="C29" i="5"/>
  <c r="G30" i="5"/>
  <c r="B2" i="7"/>
  <c r="U31" i="5"/>
  <c r="B18" i="1"/>
  <c r="X26" i="5"/>
  <c r="U29" i="5"/>
  <c r="U28" i="5"/>
  <c r="S62" i="5"/>
  <c r="Y54" i="5"/>
  <c r="V59" i="5"/>
  <c r="V56" i="5"/>
  <c r="V57" i="5"/>
  <c r="V41" i="5"/>
  <c r="I37" i="5"/>
  <c r="C7" i="6"/>
  <c r="L36" i="5"/>
  <c r="I38" i="5"/>
  <c r="I39" i="5"/>
  <c r="I41" i="5"/>
  <c r="I21" i="5"/>
  <c r="I23" i="5"/>
  <c r="L20" i="5"/>
  <c r="E27" i="5"/>
  <c r="I25" i="5"/>
  <c r="I22" i="5"/>
  <c r="B5" i="5"/>
  <c r="D43" i="5"/>
  <c r="H44" i="5" s="1"/>
  <c r="K44" i="5"/>
  <c r="V19" i="5" l="1"/>
  <c r="V68" i="5"/>
  <c r="V47" i="5"/>
  <c r="V12" i="5"/>
  <c r="V61" i="5"/>
  <c r="V54" i="5"/>
  <c r="V40" i="5"/>
  <c r="F37" i="11"/>
  <c r="J32" i="11" s="1"/>
  <c r="F41" i="12"/>
  <c r="J53" i="12" s="1"/>
  <c r="U47" i="5"/>
  <c r="U40" i="5"/>
  <c r="U61" i="5"/>
  <c r="F41" i="7"/>
  <c r="J51" i="7" s="1"/>
  <c r="U68" i="5"/>
  <c r="C3" i="6"/>
  <c r="L27" i="5"/>
  <c r="G52" i="5"/>
  <c r="G53" i="5"/>
  <c r="G55" i="5"/>
  <c r="J50" i="5"/>
  <c r="U19" i="5"/>
  <c r="T33" i="5"/>
  <c r="U33" i="5"/>
  <c r="W75" i="5"/>
  <c r="B19" i="9"/>
  <c r="B21" i="9"/>
  <c r="T47" i="5"/>
  <c r="E7" i="6"/>
  <c r="I44" i="5"/>
  <c r="I48" i="5"/>
  <c r="I46" i="5"/>
  <c r="C4" i="6"/>
  <c r="I45" i="5"/>
  <c r="L43" i="5"/>
  <c r="U12" i="5"/>
  <c r="F34" i="5"/>
  <c r="F32" i="5"/>
  <c r="F31" i="5"/>
  <c r="T12" i="5"/>
  <c r="S68" i="5"/>
  <c r="F39" i="11"/>
  <c r="L32" i="11" s="1"/>
  <c r="F40" i="11"/>
  <c r="M32" i="11" s="1"/>
  <c r="F38" i="11"/>
  <c r="K32" i="11" s="1"/>
  <c r="F41" i="11"/>
  <c r="N32" i="11" s="1"/>
  <c r="T5" i="5"/>
  <c r="K50" i="5"/>
  <c r="H53" i="5"/>
  <c r="B5" i="6"/>
  <c r="E5" i="6" s="1"/>
  <c r="H55" i="5"/>
  <c r="H52" i="5"/>
  <c r="V26" i="5"/>
  <c r="E2" i="7"/>
  <c r="T19" i="5"/>
  <c r="S61" i="5"/>
  <c r="E1" i="5"/>
  <c r="C6" i="6"/>
  <c r="L5" i="5"/>
  <c r="I8" i="5"/>
  <c r="I10" i="5"/>
  <c r="I9" i="5"/>
  <c r="I11" i="5"/>
  <c r="E57" i="5"/>
  <c r="I29" i="5" s="1"/>
  <c r="K20" i="5"/>
  <c r="H25" i="5"/>
  <c r="H23" i="5"/>
  <c r="H22" i="5"/>
  <c r="S12" i="5"/>
  <c r="D1" i="5"/>
  <c r="H10" i="5"/>
  <c r="H8" i="5"/>
  <c r="K5" i="5"/>
  <c r="H9" i="5"/>
  <c r="H11" i="5"/>
  <c r="D57" i="5"/>
  <c r="H5" i="5" s="1"/>
  <c r="B6" i="6"/>
  <c r="D44" i="12"/>
  <c r="D46" i="12"/>
  <c r="D45" i="12"/>
  <c r="D43" i="12"/>
  <c r="D42" i="12"/>
  <c r="E46" i="12"/>
  <c r="F46" i="12" s="1"/>
  <c r="S33" i="5"/>
  <c r="S19" i="5"/>
  <c r="F48" i="5"/>
  <c r="F45" i="5"/>
  <c r="F46" i="5"/>
  <c r="D40" i="11"/>
  <c r="D38" i="11"/>
  <c r="D39" i="11"/>
  <c r="E42" i="11"/>
  <c r="F42" i="11" s="1"/>
  <c r="D42" i="11"/>
  <c r="D41" i="11"/>
  <c r="G25" i="5"/>
  <c r="J20" i="5"/>
  <c r="G22" i="5"/>
  <c r="G23" i="5"/>
  <c r="B43" i="6"/>
  <c r="B4" i="6"/>
  <c r="K43" i="5"/>
  <c r="H45" i="5"/>
  <c r="H46" i="5"/>
  <c r="H48" i="5"/>
  <c r="U26" i="5"/>
  <c r="G31" i="5"/>
  <c r="J29" i="5"/>
  <c r="G34" i="5"/>
  <c r="G32" i="5"/>
  <c r="G9" i="5"/>
  <c r="G10" i="5"/>
  <c r="G8" i="5"/>
  <c r="J5" i="5"/>
  <c r="G11" i="5"/>
  <c r="T68" i="5"/>
  <c r="G51" i="5"/>
  <c r="T40" i="5"/>
  <c r="C27" i="5"/>
  <c r="C57" i="5" s="1"/>
  <c r="K29" i="5"/>
  <c r="H32" i="5"/>
  <c r="H34" i="5"/>
  <c r="B8" i="6"/>
  <c r="H31" i="5"/>
  <c r="D37" i="11"/>
  <c r="F45" i="7"/>
  <c r="N51" i="7" s="1"/>
  <c r="F42" i="7"/>
  <c r="K51" i="7" s="1"/>
  <c r="F43" i="7"/>
  <c r="L51" i="7" s="1"/>
  <c r="F44" i="7"/>
  <c r="M51" i="7" s="1"/>
  <c r="U5" i="5"/>
  <c r="E9" i="7"/>
  <c r="S26" i="5"/>
  <c r="L50" i="5"/>
  <c r="G21" i="5"/>
  <c r="C4" i="9"/>
  <c r="I30" i="5"/>
  <c r="I31" i="5"/>
  <c r="I34" i="5"/>
  <c r="C8" i="6"/>
  <c r="I32" i="5"/>
  <c r="L29" i="5"/>
  <c r="S47" i="5"/>
  <c r="G54" i="5"/>
  <c r="H24" i="5"/>
  <c r="H47" i="5"/>
  <c r="H33" i="5"/>
  <c r="F8" i="5"/>
  <c r="F9" i="5"/>
  <c r="F17" i="5"/>
  <c r="B57" i="5"/>
  <c r="F29" i="5" s="1"/>
  <c r="G47" i="5"/>
  <c r="F24" i="5"/>
  <c r="F47" i="5"/>
  <c r="F33" i="5"/>
  <c r="F10" i="5"/>
  <c r="F11" i="5"/>
  <c r="F54" i="5"/>
  <c r="G40" i="5"/>
  <c r="H54" i="5"/>
  <c r="H40" i="5"/>
  <c r="G24" i="5"/>
  <c r="H17" i="5"/>
  <c r="G33" i="5"/>
  <c r="F40" i="5"/>
  <c r="G17" i="5"/>
  <c r="F5" i="5"/>
  <c r="I24" i="5"/>
  <c r="I54" i="5"/>
  <c r="I40" i="5"/>
  <c r="I33" i="5"/>
  <c r="I17" i="5"/>
  <c r="I47" i="5"/>
  <c r="F7" i="5"/>
  <c r="D41" i="12"/>
  <c r="F45" i="12"/>
  <c r="N53" i="12" s="1"/>
  <c r="F44" i="12"/>
  <c r="M53" i="12" s="1"/>
  <c r="F43" i="12"/>
  <c r="L53" i="12" s="1"/>
  <c r="F42" i="12"/>
  <c r="K53" i="12" s="1"/>
  <c r="S5" i="5"/>
  <c r="B3" i="6"/>
  <c r="H27" i="5"/>
  <c r="G45" i="5"/>
  <c r="G46" i="5"/>
  <c r="G48" i="5"/>
  <c r="J43" i="5"/>
  <c r="F44" i="5"/>
  <c r="J35" i="7"/>
  <c r="D43" i="7"/>
  <c r="D44" i="7"/>
  <c r="E46" i="7"/>
  <c r="F46" i="7" s="1"/>
  <c r="D45" i="7"/>
  <c r="D42" i="7"/>
  <c r="D46" i="7"/>
  <c r="S40" i="5"/>
  <c r="T61" i="5"/>
  <c r="B67" i="5"/>
  <c r="B11" i="7"/>
  <c r="B10" i="1"/>
  <c r="X75" i="5"/>
  <c r="E20" i="1"/>
  <c r="E18" i="1"/>
  <c r="T26" i="5"/>
  <c r="C43" i="6"/>
  <c r="E38" i="6"/>
  <c r="I45" i="6" s="1"/>
  <c r="S78" i="5"/>
  <c r="D18" i="9"/>
  <c r="C11" i="7"/>
  <c r="C67" i="5"/>
  <c r="V33" i="5"/>
  <c r="Y75" i="5"/>
  <c r="C10" i="1"/>
  <c r="D20" i="1" s="1"/>
  <c r="C19" i="9"/>
  <c r="T54" i="5"/>
  <c r="V75" i="5" l="1"/>
  <c r="E11" i="7"/>
  <c r="E58" i="5"/>
  <c r="F27" i="5"/>
  <c r="D58" i="5"/>
  <c r="K27" i="5"/>
  <c r="U75" i="5"/>
  <c r="H43" i="5"/>
  <c r="G50" i="5"/>
  <c r="G29" i="5"/>
  <c r="G43" i="5"/>
  <c r="C20" i="9"/>
  <c r="B10" i="7"/>
  <c r="E24" i="1"/>
  <c r="B12" i="10"/>
  <c r="B9" i="6"/>
  <c r="F2" i="6" s="1"/>
  <c r="I13" i="6" s="1"/>
  <c r="T75" i="5"/>
  <c r="F38" i="6"/>
  <c r="I47" i="6" s="1"/>
  <c r="C63" i="5"/>
  <c r="C10" i="6"/>
  <c r="L57" i="5"/>
  <c r="D17" i="9"/>
  <c r="C2" i="1"/>
  <c r="I50" i="5"/>
  <c r="I36" i="5"/>
  <c r="I13" i="5"/>
  <c r="I20" i="5"/>
  <c r="D18" i="1"/>
  <c r="D24" i="1"/>
  <c r="D19" i="1"/>
  <c r="E10" i="1"/>
  <c r="F10" i="1" s="1"/>
  <c r="C10" i="7"/>
  <c r="D11" i="1"/>
  <c r="D38" i="6"/>
  <c r="E43" i="6"/>
  <c r="D40" i="6"/>
  <c r="D42" i="6"/>
  <c r="D39" i="6"/>
  <c r="D43" i="6"/>
  <c r="D41" i="6"/>
  <c r="J27" i="5"/>
  <c r="G27" i="5"/>
  <c r="F42" i="6"/>
  <c r="M47" i="6" s="1"/>
  <c r="F40" i="6"/>
  <c r="K47" i="6" s="1"/>
  <c r="F39" i="6"/>
  <c r="J47" i="6" s="1"/>
  <c r="F41" i="6"/>
  <c r="L47" i="6" s="1"/>
  <c r="F43" i="5"/>
  <c r="E4" i="6"/>
  <c r="I27" i="5"/>
  <c r="G5" i="5"/>
  <c r="J57" i="5"/>
  <c r="G13" i="5"/>
  <c r="G36" i="5"/>
  <c r="G20" i="5"/>
  <c r="B63" i="5"/>
  <c r="B2" i="1"/>
  <c r="B21" i="1" s="1"/>
  <c r="B10" i="6"/>
  <c r="K57" i="5"/>
  <c r="H13" i="5"/>
  <c r="H36" i="5"/>
  <c r="H20" i="5"/>
  <c r="E6" i="6"/>
  <c r="S75" i="5"/>
  <c r="I43" i="5"/>
  <c r="F20" i="5"/>
  <c r="F13" i="5"/>
  <c r="F36" i="5"/>
  <c r="F50" i="5"/>
  <c r="E8" i="6"/>
  <c r="H29" i="5"/>
  <c r="B58" i="5"/>
  <c r="I5" i="5"/>
  <c r="H50" i="5"/>
  <c r="C58" i="5"/>
  <c r="C9" i="6"/>
  <c r="D6" i="6" s="1"/>
  <c r="C12" i="10"/>
  <c r="K3" i="6"/>
  <c r="E3" i="6"/>
  <c r="K4" i="6"/>
  <c r="F5" i="6" l="1"/>
  <c r="I16" i="6" s="1"/>
  <c r="F8" i="6"/>
  <c r="I19" i="6" s="1"/>
  <c r="F11" i="7"/>
  <c r="D3" i="6"/>
  <c r="L58" i="5"/>
  <c r="B20" i="9"/>
  <c r="F57" i="5"/>
  <c r="F7" i="6"/>
  <c r="I18" i="6" s="1"/>
  <c r="F6" i="6"/>
  <c r="I17" i="6" s="1"/>
  <c r="F3" i="6"/>
  <c r="I14" i="6" s="1"/>
  <c r="K58" i="5"/>
  <c r="B22" i="1"/>
  <c r="F4" i="6"/>
  <c r="I15" i="6" s="1"/>
  <c r="G57" i="5"/>
  <c r="D4" i="6"/>
  <c r="I57" i="5"/>
  <c r="D7" i="7"/>
  <c r="D3" i="7"/>
  <c r="J34" i="7"/>
  <c r="K34" i="7" s="1"/>
  <c r="D4" i="7"/>
  <c r="D5" i="7"/>
  <c r="C6" i="7"/>
  <c r="D6" i="7" s="1"/>
  <c r="E10" i="7"/>
  <c r="F10" i="7" s="1"/>
  <c r="D8" i="7"/>
  <c r="D9" i="7"/>
  <c r="D2" i="7"/>
  <c r="E2" i="1"/>
  <c r="F2" i="1" s="1"/>
  <c r="D3" i="1"/>
  <c r="J58" i="5"/>
  <c r="F43" i="6"/>
  <c r="N45" i="6"/>
  <c r="N47" i="6"/>
  <c r="D2" i="6"/>
  <c r="E9" i="6"/>
  <c r="F9" i="6" s="1"/>
  <c r="D7" i="6"/>
  <c r="D5" i="6"/>
  <c r="H57" i="5"/>
  <c r="D8" i="6"/>
  <c r="C21" i="1"/>
  <c r="B6" i="7"/>
  <c r="F3" i="7"/>
  <c r="I16" i="7" s="1"/>
  <c r="F7" i="7"/>
  <c r="I20" i="7" s="1"/>
  <c r="F4" i="7"/>
  <c r="I17" i="7" s="1"/>
  <c r="F5" i="7"/>
  <c r="I18" i="7" s="1"/>
  <c r="F8" i="7"/>
  <c r="I21" i="7" s="1"/>
  <c r="F9" i="7"/>
  <c r="I22" i="7" s="1"/>
  <c r="F2" i="7"/>
  <c r="I15" i="7" s="1"/>
  <c r="I20" i="6" l="1"/>
  <c r="D9" i="6"/>
  <c r="E6" i="7"/>
  <c r="F6" i="7" s="1"/>
  <c r="I19" i="7" s="1"/>
  <c r="I23" i="7" s="1"/>
  <c r="E21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GUERINVA</author>
  </authors>
  <commentList>
    <comment ref="N6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Divers produits techniques + reprises sur provisions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E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Newten Dumanoir:
TCDC_REALISATIONS_EFFECTIFS_2018_NSA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TCDC_REALISATIONS_EFFECTIFS_2018_NSA</t>
        </r>
      </text>
    </comment>
    <comment ref="E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TCDC_REALISATIONS_EFFECTIFS_2018_RCO</t>
        </r>
      </text>
    </comment>
    <comment ref="E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TCDC_REALISATIONS_EFFECTIFS_2018_NSA</t>
        </r>
      </text>
    </comment>
    <comment ref="E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Maquette_Réalisations2018_FAMILLE NSA_pour note</t>
        </r>
      </text>
    </comment>
    <comment ref="E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Maquette_Réalisations2018_FAMILLE NSA_pour note</t>
        </r>
      </text>
    </comment>
  </commentList>
</comments>
</file>

<file path=xl/sharedStrings.xml><?xml version="1.0" encoding="utf-8"?>
<sst xmlns="http://schemas.openxmlformats.org/spreadsheetml/2006/main" count="401" uniqueCount="219">
  <si>
    <t>CHARGES</t>
  </si>
  <si>
    <t>dont prestations légales</t>
  </si>
  <si>
    <t>PRODUITS</t>
  </si>
  <si>
    <t>dont ITAF</t>
  </si>
  <si>
    <t>RESULTAT NET</t>
  </si>
  <si>
    <r>
      <t>ü</t>
    </r>
    <r>
      <rPr>
        <sz val="9"/>
        <rFont val="Arial"/>
        <family val="2"/>
      </rPr>
      <t xml:space="preserve"> accident du travail et maladie professionnelle</t>
    </r>
  </si>
  <si>
    <r>
      <t>ü</t>
    </r>
    <r>
      <rPr>
        <sz val="9"/>
        <rFont val="Arial"/>
        <family val="2"/>
      </rPr>
      <t xml:space="preserve"> famille</t>
    </r>
  </si>
  <si>
    <r>
      <t>ü</t>
    </r>
    <r>
      <rPr>
        <sz val="9"/>
        <rFont val="Arial"/>
        <family val="2"/>
      </rPr>
      <t xml:space="preserve"> retraite</t>
    </r>
  </si>
  <si>
    <t>Contribution à la croissance
 (en points)</t>
  </si>
  <si>
    <t>dont cotisations sociales</t>
  </si>
  <si>
    <t>-</t>
  </si>
  <si>
    <t>TOTAL COMPENSATION MAL-MAT-INV-DEC</t>
  </si>
  <si>
    <t>TOTAL COMPENSATION AT-MP</t>
  </si>
  <si>
    <t>TOTAL COMPENSATION FAMILLE</t>
  </si>
  <si>
    <t>TOTAL COMPENSATION RETRAITE</t>
  </si>
  <si>
    <t>dont cotisations PEC Etat</t>
  </si>
  <si>
    <r>
      <t xml:space="preserve">Régime des NSA - Toutes branches
</t>
    </r>
    <r>
      <rPr>
        <b/>
        <i/>
        <sz val="9"/>
        <rFont val="Arial"/>
        <family val="2"/>
      </rPr>
      <t>Montants en millions d'euros</t>
    </r>
  </si>
  <si>
    <r>
      <t>ü</t>
    </r>
    <r>
      <rPr>
        <sz val="9"/>
        <rFont val="Arial"/>
        <family val="2"/>
      </rPr>
      <t xml:space="preserve"> retraite complémentaire obligatoire</t>
    </r>
  </si>
  <si>
    <r>
      <t>ü</t>
    </r>
    <r>
      <rPr>
        <sz val="9"/>
        <rFont val="Arial"/>
        <family val="2"/>
      </rPr>
      <t xml:space="preserve"> retraite complémentaire obligatoire</t>
    </r>
  </si>
  <si>
    <t>TOTAL COMPENSATION RCO</t>
  </si>
  <si>
    <t>Prestations légales</t>
  </si>
  <si>
    <t>Autres charges</t>
  </si>
  <si>
    <t>Cotisations sociales</t>
  </si>
  <si>
    <t>Compensation démographique</t>
  </si>
  <si>
    <t>ITAF</t>
  </si>
  <si>
    <t>Total CHARGES</t>
  </si>
  <si>
    <t>CSG</t>
  </si>
  <si>
    <t>%</t>
  </si>
  <si>
    <t>Total PRODUITS</t>
  </si>
  <si>
    <t>Réalisations</t>
  </si>
  <si>
    <t>Poids</t>
  </si>
  <si>
    <t>Evolutions</t>
  </si>
  <si>
    <t>PRESTATIONS SOCIALES (yc  prest extra,...)</t>
  </si>
  <si>
    <t>COTISATIONS SOCIALES (techniques + gestion)</t>
  </si>
  <si>
    <t>Prestations sociales</t>
  </si>
  <si>
    <t>Cotisations "Famille"</t>
  </si>
  <si>
    <t>Prestations sociales "AT-MP"</t>
  </si>
  <si>
    <t>Cotisations "AT"</t>
  </si>
  <si>
    <t>Prestations sociales "Famille"</t>
  </si>
  <si>
    <t>Cotisations RCO</t>
  </si>
  <si>
    <t>RCO</t>
  </si>
  <si>
    <t>Cotisations "Vieillesse-Veuvage"</t>
  </si>
  <si>
    <t>Prestations sociales "Vieillesse-Veuvage"</t>
  </si>
  <si>
    <t>COTISATIONS PRISES EN CHARGE PAR L'ETAT</t>
  </si>
  <si>
    <t>CHARGES TECHNIQUES</t>
  </si>
  <si>
    <t>CHARGES TECHNIQUES DIVERSES</t>
  </si>
  <si>
    <t>TOTAL CHARGES TECHNIQUES + DIVERSES</t>
  </si>
  <si>
    <t>CHARGES FINANCIERES</t>
  </si>
  <si>
    <t>CHARGES EXCEPTIONNELLES</t>
  </si>
  <si>
    <t>PRODUITS FINANCIERS</t>
  </si>
  <si>
    <t>DOTATIONS AUX PROVISIONS</t>
  </si>
  <si>
    <t>PRODUITS DE GESTION COURANTE</t>
  </si>
  <si>
    <t>CHARGES DE GESTION COURANTE</t>
  </si>
  <si>
    <t>PRODUITS EXEPTIONNELS</t>
  </si>
  <si>
    <t>TOTAL DES CHARGES</t>
  </si>
  <si>
    <t>SOLDE</t>
  </si>
  <si>
    <t>AUTRES PRODUITS</t>
  </si>
  <si>
    <t>TOTAL DES PRODUITS</t>
  </si>
  <si>
    <t>Evol</t>
  </si>
  <si>
    <t>Contri croiss</t>
  </si>
  <si>
    <t>Prestations extra-légales</t>
  </si>
  <si>
    <t>Dotations aux provisions</t>
  </si>
  <si>
    <t>Gestion</t>
  </si>
  <si>
    <t>Charges financières</t>
  </si>
  <si>
    <t>Contribution Sociale Généralisée</t>
  </si>
  <si>
    <t>ATEXA</t>
  </si>
  <si>
    <t>FAMILLE</t>
  </si>
  <si>
    <t>RETRAITE</t>
  </si>
  <si>
    <t>dont COMPENSATION DEMO</t>
  </si>
  <si>
    <t>TOTAL PEC PREST MAL-MAT-INV-DEC</t>
  </si>
  <si>
    <t>TOTAL PEC PREST AT-MP</t>
  </si>
  <si>
    <t>TOTAL PEC PREST FAMILLE</t>
  </si>
  <si>
    <t>TOTAL PEC PREST RETRAITE</t>
  </si>
  <si>
    <t>TOTAL PEC PREST RCO</t>
  </si>
  <si>
    <t>TOTAL PEC COT MAL-MAT-INV-DEC</t>
  </si>
  <si>
    <t>TOTAL PEC COT AT-MP</t>
  </si>
  <si>
    <t>TOTAL PEC COT FAMILLE</t>
  </si>
  <si>
    <t>TOTAL PEC COT RETRAITE</t>
  </si>
  <si>
    <t>TOTAL CONTRIB RG MAL-MAT-INV-DEC</t>
  </si>
  <si>
    <t>TOTAL CONTRIB RG AT-MP</t>
  </si>
  <si>
    <t>TOTAL CONTRIB RG FAMILLE</t>
  </si>
  <si>
    <t>TOTAL CONTRIB RG RETRAITE</t>
  </si>
  <si>
    <t>TOTAL PEC COT RCO</t>
  </si>
  <si>
    <t>TOTAL CONTRIB RG RCO</t>
  </si>
  <si>
    <t>TOTAL REPRISE PROV AT-MP</t>
  </si>
  <si>
    <t>TOTAL REPRISE PROV FAMILLE</t>
  </si>
  <si>
    <t>TOTAL REPRISE PROV RETRAITE</t>
  </si>
  <si>
    <t>TOTAL REPRISE PROV RCO</t>
  </si>
  <si>
    <t>CHARGES MALADIE</t>
  </si>
  <si>
    <t>RECETTES MALADIE</t>
  </si>
  <si>
    <t>CHARGES RETRAITE</t>
  </si>
  <si>
    <t>RECETTES RETRAITE</t>
  </si>
  <si>
    <t>RESULTAT RETRAITE</t>
  </si>
  <si>
    <t>CHARGES ATMP</t>
  </si>
  <si>
    <t>RECETTES ATMP</t>
  </si>
  <si>
    <t>RESULTAT ATMP</t>
  </si>
  <si>
    <t>CHARGES FAMILLE</t>
  </si>
  <si>
    <t>RECETTES FAMILLE</t>
  </si>
  <si>
    <t>RESULTAT FAMILLE</t>
  </si>
  <si>
    <t>CHARGES TOTALES</t>
  </si>
  <si>
    <t>RECETTES TOTALES</t>
  </si>
  <si>
    <t>RESULTAT NET TOTAL</t>
  </si>
  <si>
    <t>CHARGES RCO</t>
  </si>
  <si>
    <t>RECETTES RCO</t>
  </si>
  <si>
    <t>RESULTAT RCO</t>
  </si>
  <si>
    <r>
      <t>ü</t>
    </r>
    <r>
      <rPr>
        <sz val="9"/>
        <rFont val="Arial"/>
        <family val="2"/>
      </rPr>
      <t xml:space="preserve"> maladie-maternité-invalidité</t>
    </r>
  </si>
  <si>
    <r>
      <t>ü</t>
    </r>
    <r>
      <rPr>
        <sz val="9"/>
        <rFont val="Arial"/>
        <family val="2"/>
      </rPr>
      <t xml:space="preserve"> IJ AMEXA</t>
    </r>
  </si>
  <si>
    <t>Total (hors RCO et IJ AMEXA)</t>
  </si>
  <si>
    <t>"Maladie-Maternité-Invalidité" + IJ AMEXA</t>
  </si>
  <si>
    <t>Cotisations "Maladie" + IJ AMEXA</t>
  </si>
  <si>
    <t>TOTAL CHARGES</t>
  </si>
  <si>
    <t>Verif fichier TCDC sous P - PREVISIONS</t>
  </si>
  <si>
    <t>TOTAL PRODUITS</t>
  </si>
  <si>
    <t>TOTAL REPRISE PROV MAL-MAT-INV-DEC+IJ AMEXA</t>
  </si>
  <si>
    <t>Effectif en moyenne annuelle</t>
  </si>
  <si>
    <t>Bénéficiaires - maladie (hors DOM)</t>
  </si>
  <si>
    <t>Bénéficiaires de pensions vieillesse
(métropole + DOM)</t>
  </si>
  <si>
    <t>Bénéficiaires RCO (métropole + DOM)</t>
  </si>
  <si>
    <t>Bénéficiaires de pensions d'invalidité (hors DOM)</t>
  </si>
  <si>
    <t>Familles bénéficiaires de prestations familiales dans l'année (hors DOM)</t>
  </si>
  <si>
    <t>EVOLUTION DE LA POPULATION DE BENEFICIAIRES ET DE COTISANTS DU REGIME DES NON SALARIES AGRICOLES</t>
  </si>
  <si>
    <t>Structure 2016</t>
  </si>
  <si>
    <t>Prestations NSA</t>
  </si>
  <si>
    <t>Prise en charge de prestations*</t>
  </si>
  <si>
    <t xml:space="preserve">Transferts d’équilibrage des soldes venant du Régime Général (RG)
(en millions d’euros)
</t>
  </si>
  <si>
    <t>Maladie</t>
  </si>
  <si>
    <t>Famille</t>
  </si>
  <si>
    <t xml:space="preserve">TOTAL INTEGRATION RG </t>
  </si>
  <si>
    <t>Cotisants NSA au 1er janvier (hors DOM)</t>
  </si>
  <si>
    <t>Autres produits**</t>
  </si>
  <si>
    <t>Contributions Régime général</t>
  </si>
  <si>
    <t>RESULTAT MALADIE(avec IJ AMEXA)</t>
  </si>
  <si>
    <t>Cotisations prises en charge par l'Etat</t>
  </si>
  <si>
    <t>Charges techniques :</t>
  </si>
  <si>
    <t>Intégration financière RG</t>
  </si>
  <si>
    <t>Contribution CNSA</t>
  </si>
  <si>
    <t>Charges techniques*</t>
  </si>
  <si>
    <t>CHARGES (avec transferts d'équilibre)</t>
  </si>
  <si>
    <t>MALADIE (avec IJ AMEXA)</t>
  </si>
  <si>
    <t>PRODUITS (avec transferts d'équilibre)</t>
  </si>
  <si>
    <t>MALADIE</t>
  </si>
  <si>
    <t>Prise en charge régime des étudiants</t>
  </si>
  <si>
    <t>Prise en charge de cotisations des PAM</t>
  </si>
  <si>
    <t>Contribution versées à la CNSA</t>
  </si>
  <si>
    <t>Contribution AT/MP au titre des départs en retraite anticipée</t>
  </si>
  <si>
    <t>Participation au financement des fonds et organismes (FMESPP, EPRUS, ONIAM, FCATA,…)</t>
  </si>
  <si>
    <t>Compensation généralisée vieillesse (régularisation n-1)</t>
  </si>
  <si>
    <t>Prise en charge de prestations par le FSV</t>
  </si>
  <si>
    <t>TOTAL</t>
  </si>
  <si>
    <t>Charges techniques diverses (pertes sur créances irrécouvrables et transferts divers…)</t>
  </si>
  <si>
    <t>Evolution entre 2015 et 2016</t>
  </si>
  <si>
    <t>--</t>
  </si>
  <si>
    <t>++</t>
  </si>
  <si>
    <r>
      <t xml:space="preserve">Charges techniques NSA (y compris RCO et IJ Amexa)
</t>
    </r>
    <r>
      <rPr>
        <i/>
        <sz val="10"/>
        <color theme="0"/>
        <rFont val="Arial"/>
        <family val="2"/>
      </rPr>
      <t>(en millions d'euros)</t>
    </r>
  </si>
  <si>
    <t>CONTRIBUTION RG</t>
  </si>
  <si>
    <t>AUTRES TRANSFERTS ENTRE ORGANISMES (dont CDV)</t>
  </si>
  <si>
    <t>VERIF avec fichiers TCDC DSEF</t>
  </si>
  <si>
    <t>2017/2016</t>
  </si>
  <si>
    <t>Contributions du Régime général</t>
  </si>
  <si>
    <t>Total DEPENSES</t>
  </si>
  <si>
    <t>Atexa</t>
  </si>
  <si>
    <t>MALADIE (avec IJ Amexa)</t>
  </si>
  <si>
    <t>Total RECETTES</t>
  </si>
  <si>
    <t>2018/2017</t>
  </si>
  <si>
    <t>Contribution sociale généralisée</t>
  </si>
  <si>
    <t>2019/2018</t>
  </si>
  <si>
    <t>Dont chefs d'exploitation</t>
  </si>
  <si>
    <t>Dont collaborateurs d'exploitation</t>
  </si>
  <si>
    <t>Dont aides familiaux</t>
  </si>
  <si>
    <r>
      <t>ü</t>
    </r>
    <r>
      <rPr>
        <sz val="9"/>
        <rFont val="Arial"/>
        <family val="2"/>
      </rPr>
      <t xml:space="preserve"> maladie et invalidité</t>
    </r>
  </si>
  <si>
    <t>2020/2019</t>
  </si>
  <si>
    <t>ok</t>
  </si>
  <si>
    <t xml:space="preserve">                                                                       </t>
  </si>
  <si>
    <t>POPULATION DE BENEFICIAIRES ET DE COTISANTS DU REGIME DES NON SALARIES AGRICOLES DE 2015 A 2021</t>
  </si>
  <si>
    <t>2021/2020</t>
  </si>
  <si>
    <t>Réalisation 2021</t>
  </si>
  <si>
    <t xml:space="preserve"> </t>
  </si>
  <si>
    <t>Evolution en 2021
(en %)</t>
  </si>
  <si>
    <t>Contribution à l'évolution en 2021
(en points)</t>
  </si>
  <si>
    <t>COMPENS DEMO</t>
  </si>
  <si>
    <t>²</t>
  </si>
  <si>
    <t>Réalisation 2022</t>
  </si>
  <si>
    <t>Structure 2022</t>
  </si>
  <si>
    <t>Evolution 2022/2021</t>
  </si>
  <si>
    <t>2022/2021</t>
  </si>
  <si>
    <t>Evolution en 2022
(en %)</t>
  </si>
  <si>
    <t>Contribution à l'évolution en 2022
(en points)</t>
  </si>
  <si>
    <t>Prestations légales (+3,4%)</t>
  </si>
  <si>
    <t>Charges techniques (+1,0%)</t>
  </si>
  <si>
    <t>Dotations aux provisions (-4,5%)</t>
  </si>
  <si>
    <t>Gestion (+22,4%)</t>
  </si>
  <si>
    <t>Prestations extra-légales (+82,5%)</t>
  </si>
  <si>
    <t>Autres charges (-56,1%)</t>
  </si>
  <si>
    <t>Charges financières (+91,2%)</t>
  </si>
  <si>
    <t>Itaf (+2,5%)</t>
  </si>
  <si>
    <t>Contributions du Régime général (+3,2%)</t>
  </si>
  <si>
    <t>Compensation démographique (-1,0%)</t>
  </si>
  <si>
    <t>Cotisations sociales (+2,1%)</t>
  </si>
  <si>
    <t>Autres produits (-4,5%)</t>
  </si>
  <si>
    <t>Prise en charge de prestations (-15,6%)</t>
  </si>
  <si>
    <t>Contribution Sociale Généralisée (+3,5%)</t>
  </si>
  <si>
    <t>Cotisations prises en charge par l'Etat (-59,3%)</t>
  </si>
  <si>
    <t>Contribution à l'évolution en 2022</t>
  </si>
  <si>
    <r>
      <t xml:space="preserve">Bénéficiaires </t>
    </r>
    <r>
      <rPr>
        <sz val="10"/>
        <color rgb="FFFF0000"/>
        <rFont val="Arial"/>
        <family val="2"/>
      </rPr>
      <t>RCO</t>
    </r>
    <r>
      <rPr>
        <sz val="10"/>
        <rFont val="Arial"/>
        <family val="2"/>
      </rPr>
      <t xml:space="preserve"> (métropole + DOM)</t>
    </r>
  </si>
  <si>
    <t xml:space="preserve">                                  </t>
  </si>
  <si>
    <t>Bilan démographique et financier en 2022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</si>
  <si>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</si>
  <si>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</si>
  <si>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</si>
  <si>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</si>
  <si>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</si>
  <si>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</si>
  <si>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</si>
  <si>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</si>
  <si>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</si>
  <si>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</si>
  <si>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</si>
  <si>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Régime des non-salariés agricoles</t>
  </si>
  <si>
    <t>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</si>
</sst>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0.0"/>
    <numFmt numFmtId="166" formatCode="#,##0.0"/>
    <numFmt numFmtId="167" formatCode="0.0%"/>
    <numFmt numFmtId="168" formatCode="#,##0.0\ &quot;€&quot;"/>
    <numFmt numFmtId="169" formatCode="\+0.0%;\-0.0%;General"/>
    <numFmt numFmtId="170" formatCode="\+0.0;\-0.0;General"/>
    <numFmt numFmtId="171" formatCode="\+0.0;\-0.0"/>
    <numFmt numFmtId="172" formatCode="\+0.0%;\-0.0%"/>
    <numFmt numFmtId="173" formatCode="0.0_ ;\-0.0\ "/>
    <numFmt numFmtId="174" formatCode="_-* #,##0.0\ _€_-;\-* #,##0.0\ _€_-;_-* &quot;-&quot;??\ _€_-;_-@_-"/>
  </numFmts>
  <fonts count="7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indexed="48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sz val="10"/>
      <color theme="6" tint="-0.499984740745262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D60093"/>
      <name val="Arial"/>
      <family val="2"/>
    </font>
    <font>
      <i/>
      <sz val="8"/>
      <color rgb="FF00B050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i/>
      <sz val="10"/>
      <name val="Arial"/>
      <family val="2"/>
    </font>
    <font>
      <sz val="8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FF0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</font>
    <font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color rgb="FF0000FF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500">
    <xf numFmtId="0" fontId="0" fillId="0" borderId="0" xfId="0"/>
    <xf numFmtId="0" fontId="3" fillId="0" borderId="0" xfId="0" applyFont="1"/>
    <xf numFmtId="165" fontId="0" fillId="0" borderId="0" xfId="0" applyNumberFormat="1"/>
    <xf numFmtId="0" fontId="6" fillId="0" borderId="1" xfId="0" applyFont="1" applyBorder="1"/>
    <xf numFmtId="0" fontId="6" fillId="0" borderId="3" xfId="0" applyFont="1" applyBorder="1"/>
    <xf numFmtId="0" fontId="6" fillId="2" borderId="6" xfId="0" applyFont="1" applyFill="1" applyBorder="1" applyAlignment="1">
      <alignment wrapText="1"/>
    </xf>
    <xf numFmtId="0" fontId="8" fillId="0" borderId="0" xfId="0" applyFont="1"/>
    <xf numFmtId="165" fontId="8" fillId="0" borderId="0" xfId="0" applyNumberFormat="1" applyFont="1"/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166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indent="1"/>
    </xf>
    <xf numFmtId="165" fontId="3" fillId="0" borderId="10" xfId="0" applyNumberFormat="1" applyFont="1" applyBorder="1" applyAlignment="1">
      <alignment horizontal="right" indent="1"/>
    </xf>
    <xf numFmtId="166" fontId="6" fillId="0" borderId="11" xfId="0" applyNumberFormat="1" applyFont="1" applyBorder="1" applyAlignment="1">
      <alignment horizontal="right" indent="1"/>
    </xf>
    <xf numFmtId="166" fontId="6" fillId="0" borderId="12" xfId="0" applyNumberFormat="1" applyFont="1" applyBorder="1" applyAlignment="1">
      <alignment horizontal="right" indent="1"/>
    </xf>
    <xf numFmtId="166" fontId="6" fillId="0" borderId="13" xfId="0" applyNumberFormat="1" applyFont="1" applyBorder="1" applyAlignment="1">
      <alignment horizontal="right" indent="1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14" xfId="0" applyBorder="1"/>
    <xf numFmtId="167" fontId="3" fillId="0" borderId="0" xfId="0" applyNumberFormat="1" applyFont="1"/>
    <xf numFmtId="0" fontId="6" fillId="2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left" indent="1"/>
    </xf>
    <xf numFmtId="166" fontId="3" fillId="0" borderId="17" xfId="0" applyNumberFormat="1" applyFont="1" applyBorder="1" applyAlignment="1">
      <alignment horizontal="right" indent="1"/>
    </xf>
    <xf numFmtId="165" fontId="3" fillId="0" borderId="18" xfId="0" applyNumberFormat="1" applyFont="1" applyBorder="1" applyAlignment="1">
      <alignment horizontal="right" indent="1"/>
    </xf>
    <xf numFmtId="0" fontId="5" fillId="0" borderId="19" xfId="0" applyFont="1" applyBorder="1" applyAlignment="1">
      <alignment horizontal="left" indent="1"/>
    </xf>
    <xf numFmtId="166" fontId="3" fillId="0" borderId="20" xfId="0" applyNumberFormat="1" applyFont="1" applyBorder="1" applyAlignment="1">
      <alignment horizontal="right" indent="1"/>
    </xf>
    <xf numFmtId="165" fontId="3" fillId="0" borderId="21" xfId="0" applyNumberFormat="1" applyFont="1" applyBorder="1" applyAlignment="1">
      <alignment horizontal="right" indent="1"/>
    </xf>
    <xf numFmtId="0" fontId="6" fillId="0" borderId="22" xfId="0" quotePrefix="1" applyFont="1" applyBorder="1" applyAlignment="1">
      <alignment horizontal="right" indent="1"/>
    </xf>
    <xf numFmtId="166" fontId="0" fillId="0" borderId="0" xfId="0" applyNumberFormat="1"/>
    <xf numFmtId="166" fontId="9" fillId="0" borderId="0" xfId="0" applyNumberFormat="1" applyFont="1"/>
    <xf numFmtId="0" fontId="0" fillId="0" borderId="0" xfId="0" applyBorder="1"/>
    <xf numFmtId="0" fontId="6" fillId="2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/>
    </xf>
    <xf numFmtId="3" fontId="13" fillId="0" borderId="0" xfId="0" quotePrefix="1" applyNumberFormat="1" applyFont="1" applyFill="1" applyBorder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3" fillId="0" borderId="0" xfId="0" quotePrefix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13" fillId="0" borderId="0" xfId="0" quotePrefix="1" applyNumberFormat="1" applyFont="1" applyBorder="1" applyAlignment="1">
      <alignment horizontal="centerContinuous" vertical="center"/>
    </xf>
    <xf numFmtId="3" fontId="14" fillId="0" borderId="0" xfId="0" quotePrefix="1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9" fillId="0" borderId="0" xfId="0" applyFont="1" applyBorder="1"/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6" fillId="4" borderId="14" xfId="0" applyNumberFormat="1" applyFont="1" applyFill="1" applyBorder="1" applyAlignment="1">
      <alignment horizontal="center" vertical="center"/>
    </xf>
    <xf numFmtId="0" fontId="19" fillId="4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1" fontId="20" fillId="0" borderId="14" xfId="1" applyNumberFormat="1" applyFont="1" applyFill="1" applyBorder="1" applyAlignment="1">
      <alignment horizontal="center" vertical="center"/>
    </xf>
    <xf numFmtId="1" fontId="21" fillId="0" borderId="14" xfId="1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5" xfId="0" applyFont="1" applyFill="1" applyBorder="1"/>
    <xf numFmtId="166" fontId="23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  <xf numFmtId="166" fontId="24" fillId="4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167" fontId="20" fillId="0" borderId="14" xfId="1" applyNumberFormat="1" applyFont="1" applyFill="1" applyBorder="1" applyAlignment="1">
      <alignment horizontal="center"/>
    </xf>
    <xf numFmtId="167" fontId="21" fillId="0" borderId="14" xfId="1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5" fillId="0" borderId="6" xfId="0" applyNumberFormat="1" applyFont="1" applyBorder="1"/>
    <xf numFmtId="166" fontId="18" fillId="0" borderId="14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7" fontId="25" fillId="0" borderId="14" xfId="0" applyNumberFormat="1" applyFont="1" applyBorder="1" applyAlignment="1">
      <alignment horizontal="center"/>
    </xf>
    <xf numFmtId="3" fontId="0" fillId="0" borderId="14" xfId="0" applyNumberFormat="1" applyBorder="1"/>
    <xf numFmtId="0" fontId="8" fillId="0" borderId="14" xfId="0" applyFont="1" applyBorder="1"/>
    <xf numFmtId="0" fontId="6" fillId="5" borderId="25" xfId="0" applyFont="1" applyFill="1" applyBorder="1"/>
    <xf numFmtId="166" fontId="6" fillId="5" borderId="14" xfId="0" applyNumberFormat="1" applyFont="1" applyFill="1" applyBorder="1"/>
    <xf numFmtId="166" fontId="19" fillId="4" borderId="14" xfId="0" applyNumberFormat="1" applyFont="1" applyFill="1" applyBorder="1"/>
    <xf numFmtId="167" fontId="26" fillId="5" borderId="14" xfId="0" applyNumberFormat="1" applyFont="1" applyFill="1" applyBorder="1" applyAlignment="1">
      <alignment horizontal="center"/>
    </xf>
    <xf numFmtId="167" fontId="27" fillId="5" borderId="14" xfId="0" applyNumberFormat="1" applyFont="1" applyFill="1" applyBorder="1" applyAlignment="1">
      <alignment horizontal="center"/>
    </xf>
    <xf numFmtId="167" fontId="26" fillId="5" borderId="14" xfId="1" applyNumberFormat="1" applyFont="1" applyFill="1" applyBorder="1" applyAlignment="1">
      <alignment horizontal="center"/>
    </xf>
    <xf numFmtId="167" fontId="27" fillId="5" borderId="14" xfId="1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3" fontId="6" fillId="5" borderId="26" xfId="0" applyNumberFormat="1" applyFont="1" applyFill="1" applyBorder="1"/>
    <xf numFmtId="167" fontId="28" fillId="5" borderId="14" xfId="0" applyNumberFormat="1" applyFont="1" applyFill="1" applyBorder="1" applyAlignment="1">
      <alignment horizontal="center"/>
    </xf>
    <xf numFmtId="167" fontId="29" fillId="5" borderId="14" xfId="0" applyNumberFormat="1" applyFont="1" applyFill="1" applyBorder="1" applyAlignment="1">
      <alignment horizontal="center"/>
    </xf>
    <xf numFmtId="167" fontId="28" fillId="5" borderId="14" xfId="1" applyNumberFormat="1" applyFont="1" applyFill="1" applyBorder="1" applyAlignment="1">
      <alignment horizontal="center"/>
    </xf>
    <xf numFmtId="167" fontId="29" fillId="5" borderId="14" xfId="1" applyNumberFormat="1" applyFont="1" applyFill="1" applyBorder="1" applyAlignment="1">
      <alignment horizontal="center"/>
    </xf>
    <xf numFmtId="0" fontId="26" fillId="0" borderId="0" xfId="0" applyFont="1"/>
    <xf numFmtId="0" fontId="6" fillId="0" borderId="25" xfId="0" applyFont="1" applyFill="1" applyBorder="1"/>
    <xf numFmtId="166" fontId="0" fillId="0" borderId="14" xfId="0" applyNumberFormat="1" applyFill="1" applyBorder="1"/>
    <xf numFmtId="166" fontId="10" fillId="0" borderId="14" xfId="0" applyNumberFormat="1" applyFont="1" applyFill="1" applyBorder="1"/>
    <xf numFmtId="167" fontId="20" fillId="0" borderId="14" xfId="0" applyNumberFormat="1" applyFont="1" applyFill="1" applyBorder="1" applyAlignment="1">
      <alignment horizontal="center"/>
    </xf>
    <xf numFmtId="167" fontId="21" fillId="0" borderId="14" xfId="0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3" fontId="5" fillId="0" borderId="26" xfId="0" applyNumberFormat="1" applyFont="1" applyBorder="1"/>
    <xf numFmtId="166" fontId="5" fillId="0" borderId="14" xfId="0" applyNumberFormat="1" applyFont="1" applyFill="1" applyBorder="1"/>
    <xf numFmtId="166" fontId="31" fillId="4" borderId="14" xfId="0" applyNumberFormat="1" applyFont="1" applyFill="1" applyBorder="1"/>
    <xf numFmtId="167" fontId="2" fillId="0" borderId="14" xfId="0" applyNumberFormat="1" applyFont="1" applyFill="1" applyBorder="1" applyAlignment="1">
      <alignment horizontal="center"/>
    </xf>
    <xf numFmtId="167" fontId="25" fillId="0" borderId="14" xfId="0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167" fontId="25" fillId="0" borderId="14" xfId="1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3" fontId="6" fillId="0" borderId="26" xfId="0" applyNumberFormat="1" applyFont="1" applyBorder="1"/>
    <xf numFmtId="3" fontId="5" fillId="0" borderId="14" xfId="0" applyNumberFormat="1" applyFont="1" applyFill="1" applyBorder="1"/>
    <xf numFmtId="165" fontId="6" fillId="5" borderId="14" xfId="0" applyNumberFormat="1" applyFont="1" applyFill="1" applyBorder="1"/>
    <xf numFmtId="165" fontId="5" fillId="0" borderId="14" xfId="0" applyNumberFormat="1" applyFont="1" applyFill="1" applyBorder="1"/>
    <xf numFmtId="10" fontId="26" fillId="0" borderId="0" xfId="0" applyNumberFormat="1" applyFont="1" applyFill="1" applyBorder="1" applyAlignment="1">
      <alignment horizontal="center"/>
    </xf>
    <xf numFmtId="3" fontId="6" fillId="0" borderId="26" xfId="0" applyNumberFormat="1" applyFont="1" applyFill="1" applyBorder="1"/>
    <xf numFmtId="0" fontId="13" fillId="0" borderId="0" xfId="0" applyFont="1"/>
    <xf numFmtId="10" fontId="5" fillId="0" borderId="14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0" fontId="18" fillId="0" borderId="0" xfId="0" applyFont="1"/>
    <xf numFmtId="165" fontId="6" fillId="0" borderId="14" xfId="0" applyNumberFormat="1" applyFont="1" applyFill="1" applyBorder="1"/>
    <xf numFmtId="167" fontId="26" fillId="0" borderId="14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>
      <alignment horizontal="center"/>
    </xf>
    <xf numFmtId="167" fontId="26" fillId="0" borderId="14" xfId="1" applyNumberFormat="1" applyFont="1" applyFill="1" applyBorder="1" applyAlignment="1">
      <alignment horizontal="center"/>
    </xf>
    <xf numFmtId="167" fontId="27" fillId="0" borderId="14" xfId="1" applyNumberFormat="1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6" borderId="14" xfId="0" applyFont="1" applyFill="1" applyBorder="1"/>
    <xf numFmtId="166" fontId="6" fillId="6" borderId="14" xfId="0" applyNumberFormat="1" applyFont="1" applyFill="1" applyBorder="1"/>
    <xf numFmtId="167" fontId="26" fillId="6" borderId="14" xfId="0" applyNumberFormat="1" applyFont="1" applyFill="1" applyBorder="1" applyAlignment="1">
      <alignment horizontal="center"/>
    </xf>
    <xf numFmtId="167" fontId="27" fillId="6" borderId="14" xfId="0" applyNumberFormat="1" applyFont="1" applyFill="1" applyBorder="1" applyAlignment="1">
      <alignment horizontal="center"/>
    </xf>
    <xf numFmtId="167" fontId="26" fillId="6" borderId="14" xfId="1" applyNumberFormat="1" applyFont="1" applyFill="1" applyBorder="1" applyAlignment="1">
      <alignment horizontal="center"/>
    </xf>
    <xf numFmtId="167" fontId="27" fillId="6" borderId="14" xfId="1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/>
    <xf numFmtId="0" fontId="10" fillId="0" borderId="0" xfId="0" applyFont="1" applyFill="1"/>
    <xf numFmtId="0" fontId="30" fillId="0" borderId="0" xfId="0" applyFont="1" applyFill="1"/>
    <xf numFmtId="166" fontId="2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166" fontId="0" fillId="0" borderId="0" xfId="0" applyNumberFormat="1" applyFill="1"/>
    <xf numFmtId="3" fontId="6" fillId="0" borderId="28" xfId="0" applyNumberFormat="1" applyFont="1" applyBorder="1"/>
    <xf numFmtId="3" fontId="10" fillId="0" borderId="14" xfId="0" applyNumberFormat="1" applyFont="1" applyFill="1" applyBorder="1"/>
    <xf numFmtId="167" fontId="28" fillId="0" borderId="14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>
      <alignment horizontal="center"/>
    </xf>
    <xf numFmtId="167" fontId="28" fillId="0" borderId="14" xfId="1" applyNumberFormat="1" applyFont="1" applyFill="1" applyBorder="1" applyAlignment="1">
      <alignment horizontal="center"/>
    </xf>
    <xf numFmtId="167" fontId="29" fillId="0" borderId="14" xfId="1" applyNumberFormat="1" applyFont="1" applyFill="1" applyBorder="1" applyAlignment="1">
      <alignment horizontal="center"/>
    </xf>
    <xf numFmtId="3" fontId="6" fillId="6" borderId="27" xfId="0" applyNumberFormat="1" applyFont="1" applyFill="1" applyBorder="1"/>
    <xf numFmtId="167" fontId="28" fillId="6" borderId="14" xfId="0" applyNumberFormat="1" applyFont="1" applyFill="1" applyBorder="1" applyAlignment="1">
      <alignment horizontal="center"/>
    </xf>
    <xf numFmtId="167" fontId="29" fillId="6" borderId="14" xfId="0" applyNumberFormat="1" applyFont="1" applyFill="1" applyBorder="1" applyAlignment="1">
      <alignment horizontal="center"/>
    </xf>
    <xf numFmtId="167" fontId="28" fillId="6" borderId="14" xfId="1" applyNumberFormat="1" applyFont="1" applyFill="1" applyBorder="1" applyAlignment="1">
      <alignment horizontal="center"/>
    </xf>
    <xf numFmtId="167" fontId="29" fillId="6" borderId="14" xfId="1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/>
    <xf numFmtId="3" fontId="31" fillId="0" borderId="0" xfId="0" applyNumberFormat="1" applyFont="1"/>
    <xf numFmtId="167" fontId="2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1" fillId="0" borderId="0" xfId="0" applyFont="1"/>
    <xf numFmtId="166" fontId="5" fillId="0" borderId="0" xfId="0" applyNumberFormat="1" applyFont="1" applyBorder="1"/>
    <xf numFmtId="167" fontId="5" fillId="0" borderId="0" xfId="0" applyNumberFormat="1" applyFont="1"/>
    <xf numFmtId="3" fontId="0" fillId="0" borderId="0" xfId="0" applyNumberFormat="1"/>
    <xf numFmtId="3" fontId="30" fillId="0" borderId="0" xfId="0" applyNumberFormat="1" applyFont="1"/>
    <xf numFmtId="167" fontId="0" fillId="0" borderId="0" xfId="0" applyNumberFormat="1"/>
    <xf numFmtId="167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Fill="1"/>
    <xf numFmtId="168" fontId="0" fillId="0" borderId="0" xfId="0" applyNumberFormat="1"/>
    <xf numFmtId="166" fontId="6" fillId="0" borderId="29" xfId="0" applyNumberFormat="1" applyFont="1" applyBorder="1" applyAlignment="1">
      <alignment horizontal="right" indent="1"/>
    </xf>
    <xf numFmtId="166" fontId="9" fillId="0" borderId="0" xfId="0" applyNumberFormat="1" applyFont="1" applyFill="1"/>
    <xf numFmtId="167" fontId="9" fillId="0" borderId="0" xfId="0" applyNumberFormat="1" applyFont="1" applyFill="1"/>
    <xf numFmtId="0" fontId="6" fillId="8" borderId="14" xfId="0" applyNumberFormat="1" applyFont="1" applyFill="1" applyBorder="1" applyAlignment="1">
      <alignment horizontal="center" vertical="center"/>
    </xf>
    <xf numFmtId="166" fontId="6" fillId="9" borderId="14" xfId="0" applyNumberFormat="1" applyFont="1" applyFill="1" applyBorder="1"/>
    <xf numFmtId="165" fontId="6" fillId="9" borderId="14" xfId="0" applyNumberFormat="1" applyFont="1" applyFill="1" applyBorder="1"/>
    <xf numFmtId="166" fontId="6" fillId="10" borderId="14" xfId="0" applyNumberFormat="1" applyFont="1" applyFill="1" applyBorder="1"/>
    <xf numFmtId="0" fontId="35" fillId="0" borderId="14" xfId="0" applyFont="1" applyBorder="1"/>
    <xf numFmtId="166" fontId="36" fillId="0" borderId="0" xfId="0" applyNumberFormat="1" applyFont="1"/>
    <xf numFmtId="0" fontId="37" fillId="0" borderId="0" xfId="0" applyFont="1"/>
    <xf numFmtId="165" fontId="0" fillId="0" borderId="0" xfId="0" applyNumberFormat="1" applyFill="1"/>
    <xf numFmtId="0" fontId="38" fillId="0" borderId="0" xfId="0" applyFont="1"/>
    <xf numFmtId="165" fontId="38" fillId="0" borderId="0" xfId="0" applyNumberFormat="1" applyFont="1"/>
    <xf numFmtId="0" fontId="39" fillId="0" borderId="0" xfId="0" applyFont="1"/>
    <xf numFmtId="165" fontId="39" fillId="0" borderId="0" xfId="0" applyNumberFormat="1" applyFont="1"/>
    <xf numFmtId="166" fontId="6" fillId="0" borderId="14" xfId="0" applyNumberFormat="1" applyFont="1" applyFill="1" applyBorder="1" applyAlignment="1">
      <alignment horizontal="center"/>
    </xf>
    <xf numFmtId="169" fontId="3" fillId="0" borderId="7" xfId="0" applyNumberFormat="1" applyFont="1" applyBorder="1" applyAlignment="1">
      <alignment horizontal="right" indent="1"/>
    </xf>
    <xf numFmtId="169" fontId="3" fillId="0" borderId="9" xfId="0" applyNumberFormat="1" applyFont="1" applyBorder="1" applyAlignment="1">
      <alignment horizontal="right" indent="1"/>
    </xf>
    <xf numFmtId="169" fontId="3" fillId="0" borderId="17" xfId="0" applyNumberFormat="1" applyFont="1" applyBorder="1" applyAlignment="1">
      <alignment horizontal="right" indent="1"/>
    </xf>
    <xf numFmtId="169" fontId="6" fillId="0" borderId="12" xfId="0" applyNumberFormat="1" applyFont="1" applyBorder="1" applyAlignment="1">
      <alignment horizontal="right" indent="1"/>
    </xf>
    <xf numFmtId="169" fontId="6" fillId="0" borderId="23" xfId="0" applyNumberFormat="1" applyFont="1" applyBorder="1" applyAlignment="1">
      <alignment horizontal="right" indent="1"/>
    </xf>
    <xf numFmtId="167" fontId="3" fillId="0" borderId="26" xfId="0" applyNumberFormat="1" applyFont="1" applyBorder="1" applyAlignment="1">
      <alignment horizontal="right" indent="1"/>
    </xf>
    <xf numFmtId="0" fontId="40" fillId="0" borderId="0" xfId="0" applyFont="1"/>
    <xf numFmtId="165" fontId="40" fillId="0" borderId="0" xfId="0" applyNumberFormat="1" applyFont="1"/>
    <xf numFmtId="0" fontId="0" fillId="8" borderId="0" xfId="0" applyFill="1"/>
    <xf numFmtId="166" fontId="0" fillId="8" borderId="0" xfId="0" applyNumberFormat="1" applyFill="1"/>
    <xf numFmtId="167" fontId="0" fillId="8" borderId="0" xfId="0" applyNumberFormat="1" applyFill="1"/>
    <xf numFmtId="165" fontId="0" fillId="8" borderId="0" xfId="0" applyNumberFormat="1" applyFill="1"/>
    <xf numFmtId="169" fontId="0" fillId="8" borderId="0" xfId="0" applyNumberFormat="1" applyFill="1"/>
    <xf numFmtId="169" fontId="0" fillId="0" borderId="0" xfId="0" applyNumberFormat="1"/>
    <xf numFmtId="169" fontId="9" fillId="0" borderId="0" xfId="0" applyNumberFormat="1" applyFont="1"/>
    <xf numFmtId="169" fontId="0" fillId="0" borderId="0" xfId="0" applyNumberFormat="1" applyFill="1"/>
    <xf numFmtId="169" fontId="9" fillId="0" borderId="0" xfId="0" applyNumberFormat="1" applyFont="1" applyFill="1"/>
    <xf numFmtId="0" fontId="41" fillId="0" borderId="0" xfId="0" applyFont="1"/>
    <xf numFmtId="170" fontId="3" fillId="0" borderId="8" xfId="0" applyNumberFormat="1" applyFont="1" applyBorder="1" applyAlignment="1">
      <alignment horizontal="right" indent="1"/>
    </xf>
    <xf numFmtId="170" fontId="9" fillId="0" borderId="0" xfId="0" applyNumberFormat="1" applyFont="1"/>
    <xf numFmtId="0" fontId="42" fillId="0" borderId="0" xfId="0" applyFont="1"/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vertical="center"/>
    </xf>
    <xf numFmtId="166" fontId="0" fillId="0" borderId="14" xfId="0" applyNumberFormat="1" applyBorder="1"/>
    <xf numFmtId="0" fontId="9" fillId="0" borderId="14" xfId="0" applyFont="1" applyBorder="1" applyAlignment="1">
      <alignment horizontal="right"/>
    </xf>
    <xf numFmtId="166" fontId="9" fillId="0" borderId="14" xfId="0" applyNumberFormat="1" applyFont="1" applyBorder="1" applyAlignment="1">
      <alignment horizontal="right"/>
    </xf>
    <xf numFmtId="166" fontId="42" fillId="0" borderId="0" xfId="0" applyNumberFormat="1" applyFont="1" applyAlignment="1">
      <alignment horizontal="left"/>
    </xf>
    <xf numFmtId="0" fontId="3" fillId="0" borderId="25" xfId="0" applyFont="1" applyFill="1" applyBorder="1"/>
    <xf numFmtId="3" fontId="3" fillId="0" borderId="26" xfId="0" applyNumberFormat="1" applyFont="1" applyBorder="1"/>
    <xf numFmtId="1" fontId="23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left" indent="1"/>
    </xf>
    <xf numFmtId="166" fontId="23" fillId="0" borderId="0" xfId="0" applyNumberFormat="1" applyFont="1" applyFill="1" applyBorder="1" applyAlignment="1">
      <alignment horizontal="left" indent="1"/>
    </xf>
    <xf numFmtId="166" fontId="43" fillId="0" borderId="0" xfId="0" applyNumberFormat="1" applyFont="1" applyFill="1" applyAlignment="1">
      <alignment horizontal="left" inden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/>
    <xf numFmtId="0" fontId="0" fillId="11" borderId="28" xfId="0" applyFill="1" applyBorder="1"/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11" borderId="28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 vertical="center"/>
    </xf>
    <xf numFmtId="0" fontId="1" fillId="0" borderId="38" xfId="0" applyFont="1" applyBorder="1"/>
    <xf numFmtId="0" fontId="1" fillId="0" borderId="38" xfId="0" applyFont="1" applyBorder="1" applyAlignment="1">
      <alignment wrapText="1"/>
    </xf>
    <xf numFmtId="0" fontId="1" fillId="0" borderId="40" xfId="0" applyFont="1" applyBorder="1"/>
    <xf numFmtId="169" fontId="3" fillId="0" borderId="14" xfId="0" applyNumberFormat="1" applyFont="1" applyBorder="1" applyAlignment="1">
      <alignment horizontal="right"/>
    </xf>
    <xf numFmtId="169" fontId="3" fillId="0" borderId="39" xfId="0" applyNumberFormat="1" applyFont="1" applyBorder="1" applyAlignment="1">
      <alignment horizontal="right"/>
    </xf>
    <xf numFmtId="169" fontId="3" fillId="0" borderId="41" xfId="0" applyNumberFormat="1" applyFont="1" applyBorder="1" applyAlignment="1">
      <alignment horizontal="right"/>
    </xf>
    <xf numFmtId="169" fontId="3" fillId="0" borderId="42" xfId="0" applyNumberFormat="1" applyFont="1" applyBorder="1" applyAlignment="1">
      <alignment horizontal="right"/>
    </xf>
    <xf numFmtId="169" fontId="3" fillId="11" borderId="28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 applyAlignment="1">
      <alignment horizontal="right"/>
    </xf>
    <xf numFmtId="0" fontId="45" fillId="0" borderId="0" xfId="0" applyFont="1"/>
    <xf numFmtId="0" fontId="43" fillId="0" borderId="0" xfId="0" applyFont="1" applyAlignment="1">
      <alignment horizontal="right"/>
    </xf>
    <xf numFmtId="0" fontId="43" fillId="0" borderId="0" xfId="0" applyFont="1"/>
    <xf numFmtId="166" fontId="42" fillId="0" borderId="0" xfId="0" applyNumberFormat="1" applyFont="1"/>
    <xf numFmtId="165" fontId="46" fillId="0" borderId="0" xfId="0" applyNumberFormat="1" applyFont="1"/>
    <xf numFmtId="0" fontId="3" fillId="14" borderId="47" xfId="0" applyFont="1" applyFill="1" applyBorder="1" applyAlignment="1">
      <alignment vertical="center" wrapText="1"/>
    </xf>
    <xf numFmtId="169" fontId="3" fillId="14" borderId="46" xfId="0" applyNumberFormat="1" applyFont="1" applyFill="1" applyBorder="1" applyAlignment="1">
      <alignment horizontal="right" vertical="center" wrapText="1"/>
    </xf>
    <xf numFmtId="0" fontId="3" fillId="15" borderId="47" xfId="0" applyFont="1" applyFill="1" applyBorder="1" applyAlignment="1">
      <alignment vertical="center" wrapText="1"/>
    </xf>
    <xf numFmtId="0" fontId="6" fillId="13" borderId="47" xfId="0" applyFont="1" applyFill="1" applyBorder="1" applyAlignment="1">
      <alignment horizontal="right" vertical="center" wrapText="1"/>
    </xf>
    <xf numFmtId="169" fontId="6" fillId="13" borderId="4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16" borderId="0" xfId="0" applyFill="1"/>
    <xf numFmtId="166" fontId="0" fillId="16" borderId="0" xfId="0" applyNumberFormat="1" applyFill="1"/>
    <xf numFmtId="167" fontId="0" fillId="16" borderId="0" xfId="0" applyNumberFormat="1" applyFill="1"/>
    <xf numFmtId="169" fontId="0" fillId="16" borderId="0" xfId="0" applyNumberFormat="1" applyFill="1"/>
    <xf numFmtId="165" fontId="0" fillId="16" borderId="0" xfId="0" applyNumberFormat="1" applyFill="1"/>
    <xf numFmtId="0" fontId="0" fillId="17" borderId="0" xfId="0" applyFill="1"/>
    <xf numFmtId="166" fontId="0" fillId="17" borderId="0" xfId="0" applyNumberFormat="1" applyFill="1"/>
    <xf numFmtId="167" fontId="0" fillId="17" borderId="0" xfId="0" applyNumberFormat="1" applyFill="1"/>
    <xf numFmtId="169" fontId="0" fillId="17" borderId="0" xfId="0" applyNumberFormat="1" applyFill="1"/>
    <xf numFmtId="165" fontId="0" fillId="17" borderId="0" xfId="0" applyNumberFormat="1" applyFill="1"/>
    <xf numFmtId="0" fontId="1" fillId="8" borderId="0" xfId="0" applyFont="1" applyFill="1"/>
    <xf numFmtId="165" fontId="9" fillId="0" borderId="0" xfId="0" applyNumberFormat="1" applyFont="1" applyFill="1"/>
    <xf numFmtId="0" fontId="48" fillId="18" borderId="0" xfId="0" applyFont="1" applyFill="1"/>
    <xf numFmtId="166" fontId="48" fillId="18" borderId="0" xfId="0" applyNumberFormat="1" applyFont="1" applyFill="1"/>
    <xf numFmtId="167" fontId="48" fillId="18" borderId="0" xfId="0" applyNumberFormat="1" applyFont="1" applyFill="1"/>
    <xf numFmtId="0" fontId="0" fillId="0" borderId="0" xfId="0" applyAlignment="1">
      <alignment horizontal="center"/>
    </xf>
    <xf numFmtId="171" fontId="0" fillId="8" borderId="0" xfId="0" applyNumberFormat="1" applyFill="1"/>
    <xf numFmtId="171" fontId="0" fillId="0" borderId="0" xfId="0" applyNumberFormat="1" applyFill="1"/>
    <xf numFmtId="171" fontId="0" fillId="0" borderId="0" xfId="0" applyNumberFormat="1"/>
    <xf numFmtId="171" fontId="9" fillId="0" borderId="0" xfId="0" applyNumberFormat="1" applyFont="1"/>
    <xf numFmtId="0" fontId="49" fillId="0" borderId="53" xfId="0" applyFont="1" applyBorder="1" applyAlignment="1">
      <alignment horizontal="right" indent="1"/>
    </xf>
    <xf numFmtId="0" fontId="0" fillId="19" borderId="0" xfId="0" applyFill="1"/>
    <xf numFmtId="0" fontId="51" fillId="21" borderId="0" xfId="0" applyFont="1" applyFill="1" applyAlignment="1">
      <alignment vertical="center"/>
    </xf>
    <xf numFmtId="0" fontId="51" fillId="21" borderId="0" xfId="0" applyFont="1" applyFill="1" applyAlignment="1">
      <alignment horizontal="center" vertical="center" wrapText="1"/>
    </xf>
    <xf numFmtId="0" fontId="51" fillId="21" borderId="0" xfId="0" applyFont="1" applyFill="1" applyAlignment="1">
      <alignment horizontal="center" vertical="center"/>
    </xf>
    <xf numFmtId="166" fontId="9" fillId="0" borderId="14" xfId="0" applyNumberFormat="1" applyFont="1" applyBorder="1"/>
    <xf numFmtId="167" fontId="9" fillId="0" borderId="14" xfId="0" applyNumberFormat="1" applyFont="1" applyBorder="1" applyAlignment="1">
      <alignment horizontal="center"/>
    </xf>
    <xf numFmtId="0" fontId="0" fillId="0" borderId="54" xfId="0" applyBorder="1"/>
    <xf numFmtId="166" fontId="0" fillId="0" borderId="54" xfId="0" applyNumberFormat="1" applyBorder="1"/>
    <xf numFmtId="167" fontId="0" fillId="0" borderId="54" xfId="0" applyNumberFormat="1" applyBorder="1" applyAlignment="1">
      <alignment horizontal="center"/>
    </xf>
    <xf numFmtId="0" fontId="1" fillId="0" borderId="55" xfId="0" applyFont="1" applyBorder="1"/>
    <xf numFmtId="166" fontId="0" fillId="0" borderId="55" xfId="0" applyNumberFormat="1" applyBorder="1"/>
    <xf numFmtId="167" fontId="0" fillId="0" borderId="55" xfId="0" applyNumberFormat="1" applyBorder="1" applyAlignment="1">
      <alignment horizontal="center"/>
    </xf>
    <xf numFmtId="0" fontId="1" fillId="0" borderId="56" xfId="0" applyFont="1" applyBorder="1"/>
    <xf numFmtId="166" fontId="0" fillId="0" borderId="56" xfId="0" applyNumberFormat="1" applyBorder="1"/>
    <xf numFmtId="167" fontId="0" fillId="0" borderId="56" xfId="0" applyNumberFormat="1" applyBorder="1" applyAlignment="1">
      <alignment horizontal="center"/>
    </xf>
    <xf numFmtId="172" fontId="1" fillId="0" borderId="54" xfId="0" quotePrefix="1" applyNumberFormat="1" applyFont="1" applyBorder="1" applyAlignment="1">
      <alignment horizontal="center"/>
    </xf>
    <xf numFmtId="172" fontId="1" fillId="0" borderId="55" xfId="0" quotePrefix="1" applyNumberFormat="1" applyFon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2" fontId="1" fillId="0" borderId="56" xfId="0" quotePrefix="1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65" fontId="43" fillId="0" borderId="0" xfId="0" applyNumberFormat="1" applyFont="1"/>
    <xf numFmtId="166" fontId="44" fillId="0" borderId="0" xfId="0" applyNumberFormat="1" applyFont="1"/>
    <xf numFmtId="0" fontId="9" fillId="0" borderId="0" xfId="0" applyFont="1" applyFill="1" applyAlignment="1">
      <alignment horizontal="center"/>
    </xf>
    <xf numFmtId="0" fontId="48" fillId="0" borderId="0" xfId="0" applyFont="1" applyFill="1"/>
    <xf numFmtId="166" fontId="48" fillId="0" borderId="0" xfId="0" applyNumberFormat="1" applyFont="1" applyFill="1"/>
    <xf numFmtId="167" fontId="48" fillId="0" borderId="0" xfId="0" applyNumberFormat="1" applyFont="1" applyFill="1"/>
    <xf numFmtId="0" fontId="47" fillId="0" borderId="53" xfId="0" applyFont="1" applyBorder="1" applyAlignment="1">
      <alignment horizontal="right" indent="1"/>
    </xf>
    <xf numFmtId="171" fontId="9" fillId="0" borderId="0" xfId="0" applyNumberFormat="1" applyFont="1" applyFill="1"/>
    <xf numFmtId="0" fontId="1" fillId="17" borderId="0" xfId="0" applyFont="1" applyFill="1"/>
    <xf numFmtId="173" fontId="0" fillId="0" borderId="0" xfId="0" applyNumberFormat="1" applyFill="1"/>
    <xf numFmtId="3" fontId="3" fillId="19" borderId="39" xfId="0" applyNumberFormat="1" applyFont="1" applyFill="1" applyBorder="1" applyAlignment="1">
      <alignment horizontal="right"/>
    </xf>
    <xf numFmtId="3" fontId="3" fillId="19" borderId="14" xfId="0" applyNumberFormat="1" applyFont="1" applyFill="1" applyBorder="1" applyAlignment="1">
      <alignment horizontal="right" vertical="center"/>
    </xf>
    <xf numFmtId="0" fontId="9" fillId="0" borderId="6" xfId="0" applyFont="1" applyBorder="1"/>
    <xf numFmtId="166" fontId="0" fillId="8" borderId="26" xfId="0" applyNumberFormat="1" applyFill="1" applyBorder="1"/>
    <xf numFmtId="166" fontId="0" fillId="0" borderId="26" xfId="0" applyNumberFormat="1" applyFill="1" applyBorder="1"/>
    <xf numFmtId="166" fontId="0" fillId="0" borderId="26" xfId="0" applyNumberFormat="1" applyBorder="1"/>
    <xf numFmtId="166" fontId="9" fillId="0" borderId="28" xfId="0" applyNumberFormat="1" applyFont="1" applyBorder="1"/>
    <xf numFmtId="0" fontId="9" fillId="0" borderId="15" xfId="0" applyFont="1" applyBorder="1"/>
    <xf numFmtId="0" fontId="9" fillId="0" borderId="57" xfId="0" applyFont="1" applyBorder="1"/>
    <xf numFmtId="167" fontId="0" fillId="8" borderId="25" xfId="0" applyNumberFormat="1" applyFill="1" applyBorder="1"/>
    <xf numFmtId="171" fontId="0" fillId="8" borderId="58" xfId="0" applyNumberFormat="1" applyFill="1" applyBorder="1"/>
    <xf numFmtId="167" fontId="0" fillId="0" borderId="25" xfId="0" applyNumberFormat="1" applyFill="1" applyBorder="1"/>
    <xf numFmtId="171" fontId="0" fillId="0" borderId="58" xfId="0" applyNumberFormat="1" applyFill="1" applyBorder="1"/>
    <xf numFmtId="167" fontId="0" fillId="0" borderId="25" xfId="0" applyNumberFormat="1" applyBorder="1"/>
    <xf numFmtId="171" fontId="0" fillId="0" borderId="58" xfId="0" applyNumberFormat="1" applyBorder="1"/>
    <xf numFmtId="167" fontId="9" fillId="0" borderId="59" xfId="0" applyNumberFormat="1" applyFont="1" applyBorder="1"/>
    <xf numFmtId="171" fontId="9" fillId="0" borderId="60" xfId="0" applyNumberFormat="1" applyFont="1" applyBorder="1"/>
    <xf numFmtId="9" fontId="3" fillId="0" borderId="0" xfId="1" applyFont="1"/>
    <xf numFmtId="9" fontId="0" fillId="0" borderId="0" xfId="1" applyFont="1"/>
    <xf numFmtId="3" fontId="3" fillId="19" borderId="42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Fill="1" applyBorder="1"/>
    <xf numFmtId="165" fontId="3" fillId="0" borderId="14" xfId="0" applyNumberFormat="1" applyFont="1" applyFill="1" applyBorder="1"/>
    <xf numFmtId="166" fontId="14" fillId="0" borderId="0" xfId="0" quotePrefix="1" applyNumberFormat="1" applyFont="1" applyBorder="1" applyAlignment="1">
      <alignment horizontal="centerContinuous" vertical="center"/>
    </xf>
    <xf numFmtId="2" fontId="0" fillId="0" borderId="0" xfId="0" applyNumberFormat="1"/>
    <xf numFmtId="166" fontId="0" fillId="22" borderId="14" xfId="0" applyNumberFormat="1" applyFill="1" applyBorder="1"/>
    <xf numFmtId="3" fontId="3" fillId="19" borderId="14" xfId="0" applyNumberFormat="1" applyFont="1" applyFill="1" applyBorder="1" applyAlignment="1">
      <alignment horizontal="right"/>
    </xf>
    <xf numFmtId="167" fontId="3" fillId="19" borderId="14" xfId="1" applyNumberFormat="1" applyFont="1" applyFill="1" applyBorder="1" applyAlignment="1">
      <alignment horizontal="right"/>
    </xf>
    <xf numFmtId="166" fontId="3" fillId="19" borderId="7" xfId="0" applyNumberFormat="1" applyFont="1" applyFill="1" applyBorder="1" applyAlignment="1">
      <alignment horizontal="right" indent="1"/>
    </xf>
    <xf numFmtId="166" fontId="3" fillId="19" borderId="9" xfId="0" applyNumberFormat="1" applyFont="1" applyFill="1" applyBorder="1" applyAlignment="1">
      <alignment horizontal="right" indent="1"/>
    </xf>
    <xf numFmtId="166" fontId="55" fillId="4" borderId="14" xfId="0" applyNumberFormat="1" applyFont="1" applyFill="1" applyBorder="1"/>
    <xf numFmtId="165" fontId="55" fillId="4" borderId="14" xfId="0" applyNumberFormat="1" applyFont="1" applyFill="1" applyBorder="1"/>
    <xf numFmtId="0" fontId="56" fillId="0" borderId="0" xfId="0" applyFont="1"/>
    <xf numFmtId="165" fontId="8" fillId="0" borderId="0" xfId="0" applyNumberFormat="1" applyFont="1" applyFill="1"/>
    <xf numFmtId="165" fontId="38" fillId="0" borderId="0" xfId="0" applyNumberFormat="1" applyFont="1" applyFill="1"/>
    <xf numFmtId="165" fontId="39" fillId="0" borderId="0" xfId="0" applyNumberFormat="1" applyFont="1" applyFill="1"/>
    <xf numFmtId="165" fontId="41" fillId="0" borderId="0" xfId="0" applyNumberFormat="1" applyFont="1" applyFill="1"/>
    <xf numFmtId="0" fontId="6" fillId="23" borderId="2" xfId="0" applyFont="1" applyFill="1" applyBorder="1"/>
    <xf numFmtId="0" fontId="3" fillId="23" borderId="4" xfId="0" applyFont="1" applyFill="1" applyBorder="1" applyAlignment="1">
      <alignment horizontal="left" indent="1"/>
    </xf>
    <xf numFmtId="0" fontId="4" fillId="23" borderId="16" xfId="0" applyFont="1" applyFill="1" applyBorder="1" applyAlignment="1">
      <alignment horizontal="left" indent="2"/>
    </xf>
    <xf numFmtId="0" fontId="4" fillId="23" borderId="5" xfId="0" applyFont="1" applyFill="1" applyBorder="1" applyAlignment="1">
      <alignment horizontal="left" indent="2"/>
    </xf>
    <xf numFmtId="0" fontId="4" fillId="23" borderId="49" xfId="0" applyFont="1" applyFill="1" applyBorder="1" applyAlignment="1">
      <alignment horizontal="left" indent="2"/>
    </xf>
    <xf numFmtId="166" fontId="3" fillId="23" borderId="7" xfId="0" applyNumberFormat="1" applyFont="1" applyFill="1" applyBorder="1" applyAlignment="1">
      <alignment horizontal="right" indent="1"/>
    </xf>
    <xf numFmtId="167" fontId="3" fillId="23" borderId="7" xfId="0" applyNumberFormat="1" applyFont="1" applyFill="1" applyBorder="1" applyAlignment="1">
      <alignment horizontal="right" indent="1"/>
    </xf>
    <xf numFmtId="169" fontId="3" fillId="23" borderId="7" xfId="0" applyNumberFormat="1" applyFont="1" applyFill="1" applyBorder="1" applyAlignment="1">
      <alignment horizontal="right" indent="1"/>
    </xf>
    <xf numFmtId="169" fontId="6" fillId="23" borderId="11" xfId="0" applyNumberFormat="1" applyFont="1" applyFill="1" applyBorder="1" applyAlignment="1">
      <alignment horizontal="right" indent="1"/>
    </xf>
    <xf numFmtId="170" fontId="3" fillId="23" borderId="33" xfId="0" applyNumberFormat="1" applyFont="1" applyFill="1" applyBorder="1" applyAlignment="1">
      <alignment horizontal="right" indent="1"/>
    </xf>
    <xf numFmtId="169" fontId="3" fillId="23" borderId="17" xfId="0" applyNumberFormat="1" applyFont="1" applyFill="1" applyBorder="1" applyAlignment="1">
      <alignment horizontal="right" indent="1"/>
    </xf>
    <xf numFmtId="170" fontId="3" fillId="23" borderId="34" xfId="0" applyNumberFormat="1" applyFont="1" applyFill="1" applyBorder="1" applyAlignment="1">
      <alignment horizontal="right" indent="1"/>
    </xf>
    <xf numFmtId="169" fontId="3" fillId="23" borderId="9" xfId="0" applyNumberFormat="1" applyFont="1" applyFill="1" applyBorder="1" applyAlignment="1">
      <alignment horizontal="right" indent="1"/>
    </xf>
    <xf numFmtId="169" fontId="3" fillId="23" borderId="50" xfId="0" applyNumberFormat="1" applyFont="1" applyFill="1" applyBorder="1" applyAlignment="1">
      <alignment horizontal="right" indent="1"/>
    </xf>
    <xf numFmtId="170" fontId="3" fillId="23" borderId="52" xfId="0" applyNumberFormat="1" applyFont="1" applyFill="1" applyBorder="1" applyAlignment="1">
      <alignment horizontal="right" indent="1"/>
    </xf>
    <xf numFmtId="170" fontId="3" fillId="23" borderId="10" xfId="0" applyNumberFormat="1" applyFont="1" applyFill="1" applyBorder="1" applyAlignment="1">
      <alignment horizontal="right" indent="1"/>
    </xf>
    <xf numFmtId="0" fontId="4" fillId="23" borderId="48" xfId="0" applyFont="1" applyFill="1" applyBorder="1" applyAlignment="1">
      <alignment horizontal="left" indent="2"/>
    </xf>
    <xf numFmtId="0" fontId="4" fillId="24" borderId="5" xfId="0" applyFont="1" applyFill="1" applyBorder="1" applyAlignment="1">
      <alignment horizontal="left" indent="2"/>
    </xf>
    <xf numFmtId="169" fontId="3" fillId="24" borderId="9" xfId="0" applyNumberFormat="1" applyFont="1" applyFill="1" applyBorder="1" applyAlignment="1">
      <alignment horizontal="right" indent="1"/>
    </xf>
    <xf numFmtId="170" fontId="3" fillId="24" borderId="10" xfId="0" applyNumberFormat="1" applyFont="1" applyFill="1" applyBorder="1" applyAlignment="1">
      <alignment horizontal="right" indent="1"/>
    </xf>
    <xf numFmtId="166" fontId="3" fillId="17" borderId="17" xfId="0" applyNumberFormat="1" applyFont="1" applyFill="1" applyBorder="1" applyAlignment="1">
      <alignment horizontal="right" indent="1"/>
    </xf>
    <xf numFmtId="167" fontId="3" fillId="17" borderId="9" xfId="0" applyNumberFormat="1" applyFont="1" applyFill="1" applyBorder="1" applyAlignment="1">
      <alignment horizontal="right" indent="1"/>
    </xf>
    <xf numFmtId="166" fontId="3" fillId="17" borderId="9" xfId="0" applyNumberFormat="1" applyFont="1" applyFill="1" applyBorder="1" applyAlignment="1">
      <alignment horizontal="right" indent="1"/>
    </xf>
    <xf numFmtId="166" fontId="3" fillId="17" borderId="50" xfId="0" applyNumberFormat="1" applyFont="1" applyFill="1" applyBorder="1" applyAlignment="1">
      <alignment horizontal="right" indent="1"/>
    </xf>
    <xf numFmtId="167" fontId="3" fillId="17" borderId="51" xfId="0" applyNumberFormat="1" applyFont="1" applyFill="1" applyBorder="1" applyAlignment="1">
      <alignment horizontal="right" indent="1"/>
    </xf>
    <xf numFmtId="174" fontId="3" fillId="14" borderId="46" xfId="2" applyNumberFormat="1" applyFont="1" applyFill="1" applyBorder="1" applyAlignment="1">
      <alignment horizontal="right" vertical="center" wrapText="1"/>
    </xf>
    <xf numFmtId="174" fontId="3" fillId="15" borderId="46" xfId="2" applyNumberFormat="1" applyFont="1" applyFill="1" applyBorder="1" applyAlignment="1">
      <alignment horizontal="right" vertical="center" wrapText="1"/>
    </xf>
    <xf numFmtId="174" fontId="6" fillId="13" borderId="46" xfId="2" applyNumberFormat="1" applyFont="1" applyFill="1" applyBorder="1" applyAlignment="1">
      <alignment horizontal="right" vertical="center" wrapText="1"/>
    </xf>
    <xf numFmtId="169" fontId="0" fillId="17" borderId="61" xfId="0" applyNumberFormat="1" applyFill="1" applyBorder="1"/>
    <xf numFmtId="165" fontId="0" fillId="17" borderId="62" xfId="0" applyNumberFormat="1" applyFill="1" applyBorder="1"/>
    <xf numFmtId="169" fontId="0" fillId="16" borderId="63" xfId="0" applyNumberFormat="1" applyFill="1" applyBorder="1"/>
    <xf numFmtId="165" fontId="0" fillId="16" borderId="64" xfId="0" applyNumberFormat="1" applyFill="1" applyBorder="1"/>
    <xf numFmtId="169" fontId="0" fillId="17" borderId="63" xfId="0" applyNumberFormat="1" applyFill="1" applyBorder="1"/>
    <xf numFmtId="165" fontId="0" fillId="17" borderId="64" xfId="0" applyNumberFormat="1" applyFill="1" applyBorder="1"/>
    <xf numFmtId="169" fontId="0" fillId="0" borderId="63" xfId="0" applyNumberFormat="1" applyFill="1" applyBorder="1"/>
    <xf numFmtId="165" fontId="0" fillId="0" borderId="64" xfId="0" applyNumberFormat="1" applyFill="1" applyBorder="1"/>
    <xf numFmtId="169" fontId="0" fillId="0" borderId="65" xfId="0" applyNumberFormat="1" applyFill="1" applyBorder="1"/>
    <xf numFmtId="165" fontId="0" fillId="0" borderId="66" xfId="0" applyNumberFormat="1" applyFill="1" applyBorder="1"/>
    <xf numFmtId="167" fontId="3" fillId="0" borderId="7" xfId="0" applyNumberFormat="1" applyFont="1" applyBorder="1" applyAlignment="1">
      <alignment horizontal="right" indent="1"/>
    </xf>
    <xf numFmtId="3" fontId="58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166" fontId="0" fillId="16" borderId="14" xfId="0" applyNumberFormat="1" applyFill="1" applyBorder="1"/>
    <xf numFmtId="166" fontId="0" fillId="25" borderId="14" xfId="0" applyNumberFormat="1" applyFill="1" applyBorder="1"/>
    <xf numFmtId="166" fontId="0" fillId="26" borderId="14" xfId="0" applyNumberFormat="1" applyFill="1" applyBorder="1"/>
    <xf numFmtId="166" fontId="0" fillId="27" borderId="14" xfId="0" applyNumberFormat="1" applyFill="1" applyBorder="1"/>
    <xf numFmtId="166" fontId="0" fillId="28" borderId="14" xfId="0" applyNumberFormat="1" applyFill="1" applyBorder="1"/>
    <xf numFmtId="0" fontId="9" fillId="0" borderId="14" xfId="0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66" fontId="0" fillId="29" borderId="14" xfId="0" applyNumberFormat="1" applyFill="1" applyBorder="1"/>
    <xf numFmtId="166" fontId="55" fillId="0" borderId="14" xfId="0" applyNumberFormat="1" applyFont="1" applyFill="1" applyBorder="1"/>
    <xf numFmtId="166" fontId="31" fillId="0" borderId="14" xfId="0" applyNumberFormat="1" applyFont="1" applyFill="1" applyBorder="1"/>
    <xf numFmtId="166" fontId="6" fillId="8" borderId="14" xfId="0" applyNumberFormat="1" applyFont="1" applyFill="1" applyBorder="1" applyAlignment="1">
      <alignment horizontal="center"/>
    </xf>
    <xf numFmtId="9" fontId="26" fillId="0" borderId="14" xfId="1" applyFont="1" applyFill="1" applyBorder="1" applyAlignment="1">
      <alignment horizontal="center"/>
    </xf>
    <xf numFmtId="9" fontId="27" fillId="0" borderId="14" xfId="1" applyFont="1" applyFill="1" applyBorder="1" applyAlignment="1">
      <alignment horizontal="center"/>
    </xf>
    <xf numFmtId="166" fontId="59" fillId="9" borderId="14" xfId="0" applyNumberFormat="1" applyFont="1" applyFill="1" applyBorder="1"/>
    <xf numFmtId="174" fontId="55" fillId="14" borderId="46" xfId="2" applyNumberFormat="1" applyFont="1" applyFill="1" applyBorder="1" applyAlignment="1">
      <alignment horizontal="right" vertical="center" wrapText="1"/>
    </xf>
    <xf numFmtId="174" fontId="55" fillId="15" borderId="46" xfId="2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right" indent="1"/>
    </xf>
    <xf numFmtId="166" fontId="3" fillId="0" borderId="9" xfId="0" applyNumberFormat="1" applyFont="1" applyFill="1" applyBorder="1" applyAlignment="1">
      <alignment horizontal="right" indent="1"/>
    </xf>
    <xf numFmtId="166" fontId="3" fillId="0" borderId="50" xfId="0" applyNumberFormat="1" applyFont="1" applyFill="1" applyBorder="1" applyAlignment="1">
      <alignment horizontal="right" indent="1"/>
    </xf>
    <xf numFmtId="166" fontId="6" fillId="0" borderId="12" xfId="0" applyNumberFormat="1" applyFont="1" applyFill="1" applyBorder="1" applyAlignment="1">
      <alignment horizontal="right" indent="1"/>
    </xf>
    <xf numFmtId="0" fontId="61" fillId="0" borderId="0" xfId="0" applyFont="1"/>
    <xf numFmtId="0" fontId="60" fillId="8" borderId="0" xfId="0" applyFont="1" applyFill="1"/>
    <xf numFmtId="0" fontId="60" fillId="0" borderId="0" xfId="0" applyFont="1" applyFill="1"/>
    <xf numFmtId="0" fontId="60" fillId="0" borderId="0" xfId="0" applyFont="1"/>
    <xf numFmtId="0" fontId="61" fillId="0" borderId="0" xfId="0" applyFont="1" applyFill="1"/>
    <xf numFmtId="166" fontId="3" fillId="24" borderId="9" xfId="0" applyNumberFormat="1" applyFont="1" applyFill="1" applyBorder="1" applyAlignment="1">
      <alignment horizontal="right" indent="1"/>
    </xf>
    <xf numFmtId="166" fontId="30" fillId="0" borderId="14" xfId="0" applyNumberFormat="1" applyFont="1" applyFill="1" applyBorder="1"/>
    <xf numFmtId="165" fontId="31" fillId="0" borderId="14" xfId="0" applyNumberFormat="1" applyFont="1" applyFill="1" applyBorder="1"/>
    <xf numFmtId="10" fontId="31" fillId="0" borderId="14" xfId="0" applyNumberFormat="1" applyFont="1" applyFill="1" applyBorder="1"/>
    <xf numFmtId="165" fontId="55" fillId="8" borderId="14" xfId="0" applyNumberFormat="1" applyFont="1" applyFill="1" applyBorder="1"/>
    <xf numFmtId="166" fontId="55" fillId="8" borderId="14" xfId="0" applyNumberFormat="1" applyFont="1" applyFill="1" applyBorder="1"/>
    <xf numFmtId="165" fontId="19" fillId="0" borderId="14" xfId="0" applyNumberFormat="1" applyFont="1" applyFill="1" applyBorder="1"/>
    <xf numFmtId="3" fontId="31" fillId="0" borderId="14" xfId="0" applyNumberFormat="1" applyFont="1" applyFill="1" applyBorder="1"/>
    <xf numFmtId="166" fontId="3" fillId="8" borderId="14" xfId="0" applyNumberFormat="1" applyFont="1" applyFill="1" applyBorder="1"/>
    <xf numFmtId="3" fontId="30" fillId="0" borderId="14" xfId="0" applyNumberFormat="1" applyFont="1" applyFill="1" applyBorder="1"/>
    <xf numFmtId="3" fontId="62" fillId="21" borderId="0" xfId="0" applyNumberFormat="1" applyFont="1" applyFill="1"/>
    <xf numFmtId="166" fontId="62" fillId="21" borderId="0" xfId="0" applyNumberFormat="1" applyFont="1" applyFill="1"/>
    <xf numFmtId="3" fontId="3" fillId="0" borderId="0" xfId="0" applyNumberFormat="1" applyFont="1"/>
    <xf numFmtId="3" fontId="62" fillId="0" borderId="0" xfId="0" applyNumberFormat="1" applyFont="1"/>
    <xf numFmtId="3" fontId="1" fillId="0" borderId="0" xfId="0" applyNumberFormat="1" applyFont="1"/>
    <xf numFmtId="165" fontId="8" fillId="17" borderId="0" xfId="0" applyNumberFormat="1" applyFont="1" applyFill="1"/>
    <xf numFmtId="165" fontId="38" fillId="17" borderId="0" xfId="0" applyNumberFormat="1" applyFont="1" applyFill="1"/>
    <xf numFmtId="165" fontId="39" fillId="17" borderId="0" xfId="0" applyNumberFormat="1" applyFont="1" applyFill="1"/>
    <xf numFmtId="165" fontId="41" fillId="17" borderId="0" xfId="0" applyNumberFormat="1" applyFont="1" applyFill="1"/>
    <xf numFmtId="3" fontId="0" fillId="17" borderId="14" xfId="0" applyNumberFormat="1" applyFill="1" applyBorder="1"/>
    <xf numFmtId="3" fontId="9" fillId="19" borderId="14" xfId="0" applyNumberFormat="1" applyFont="1" applyFill="1" applyBorder="1" applyAlignment="1">
      <alignment horizontal="right"/>
    </xf>
    <xf numFmtId="167" fontId="9" fillId="19" borderId="14" xfId="1" applyNumberFormat="1" applyFont="1" applyFill="1" applyBorder="1" applyAlignment="1">
      <alignment horizontal="right"/>
    </xf>
    <xf numFmtId="167" fontId="62" fillId="21" borderId="0" xfId="1" applyNumberFormat="1" applyFont="1" applyFill="1"/>
    <xf numFmtId="3" fontId="64" fillId="17" borderId="39" xfId="0" applyNumberFormat="1" applyFont="1" applyFill="1" applyBorder="1" applyAlignment="1">
      <alignment horizontal="right"/>
    </xf>
    <xf numFmtId="3" fontId="64" fillId="17" borderId="42" xfId="0" applyNumberFormat="1" applyFont="1" applyFill="1" applyBorder="1" applyAlignment="1">
      <alignment horizontal="right"/>
    </xf>
    <xf numFmtId="3" fontId="64" fillId="11" borderId="28" xfId="0" applyNumberFormat="1" applyFont="1" applyFill="1" applyBorder="1" applyAlignment="1">
      <alignment horizontal="right"/>
    </xf>
    <xf numFmtId="3" fontId="64" fillId="17" borderId="14" xfId="0" applyNumberFormat="1" applyFont="1" applyFill="1" applyBorder="1" applyAlignment="1">
      <alignment horizontal="right" vertical="center"/>
    </xf>
    <xf numFmtId="3" fontId="64" fillId="17" borderId="14" xfId="0" applyNumberFormat="1" applyFont="1" applyFill="1" applyBorder="1" applyAlignment="1">
      <alignment horizontal="right"/>
    </xf>
    <xf numFmtId="3" fontId="65" fillId="17" borderId="14" xfId="0" applyNumberFormat="1" applyFont="1" applyFill="1" applyBorder="1"/>
    <xf numFmtId="169" fontId="64" fillId="0" borderId="39" xfId="0" applyNumberFormat="1" applyFont="1" applyBorder="1" applyAlignment="1">
      <alignment horizontal="right"/>
    </xf>
    <xf numFmtId="169" fontId="64" fillId="0" borderId="42" xfId="0" applyNumberFormat="1" applyFont="1" applyBorder="1" applyAlignment="1">
      <alignment horizontal="right"/>
    </xf>
    <xf numFmtId="169" fontId="64" fillId="11" borderId="28" xfId="0" applyNumberFormat="1" applyFont="1" applyFill="1" applyBorder="1" applyAlignment="1">
      <alignment horizontal="right"/>
    </xf>
    <xf numFmtId="169" fontId="64" fillId="0" borderId="14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9" fillId="2" borderId="32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0" fillId="4" borderId="30" xfId="0" applyFill="1" applyBorder="1" applyAlignment="1"/>
    <xf numFmtId="0" fontId="0" fillId="0" borderId="31" xfId="0" applyBorder="1" applyAlignment="1"/>
    <xf numFmtId="0" fontId="10" fillId="4" borderId="30" xfId="0" applyFont="1" applyFill="1" applyBorder="1" applyAlignment="1"/>
    <xf numFmtId="172" fontId="47" fillId="0" borderId="53" xfId="0" applyNumberFormat="1" applyFont="1" applyBorder="1" applyAlignment="1">
      <alignment horizontal="right" vertical="center" indent="1"/>
    </xf>
    <xf numFmtId="171" fontId="47" fillId="0" borderId="53" xfId="0" applyNumberFormat="1" applyFont="1" applyBorder="1" applyAlignment="1">
      <alignment horizontal="right" vertical="center" indent="1"/>
    </xf>
    <xf numFmtId="171" fontId="49" fillId="0" borderId="53" xfId="0" applyNumberFormat="1" applyFont="1" applyBorder="1" applyAlignment="1">
      <alignment horizontal="right" vertical="center" indent="1"/>
    </xf>
    <xf numFmtId="0" fontId="50" fillId="20" borderId="53" xfId="0" applyFont="1" applyFill="1" applyBorder="1" applyAlignment="1">
      <alignment horizontal="center" vertical="center" wrapText="1"/>
    </xf>
    <xf numFmtId="172" fontId="49" fillId="0" borderId="53" xfId="0" applyNumberFormat="1" applyFont="1" applyBorder="1" applyAlignment="1">
      <alignment horizontal="right" vertical="center" indent="1"/>
    </xf>
    <xf numFmtId="0" fontId="47" fillId="0" borderId="43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right" vertical="center" wrapText="1"/>
    </xf>
    <xf numFmtId="0" fontId="6" fillId="12" borderId="45" xfId="0" applyFont="1" applyFill="1" applyBorder="1" applyAlignment="1">
      <alignment horizontal="right" vertical="center" wrapText="1"/>
    </xf>
    <xf numFmtId="0" fontId="6" fillId="12" borderId="47" xfId="0" applyFont="1" applyFill="1" applyBorder="1" applyAlignment="1">
      <alignment horizontal="right" vertical="center" wrapText="1"/>
    </xf>
    <xf numFmtId="0" fontId="6" fillId="13" borderId="44" xfId="0" applyFont="1" applyFill="1" applyBorder="1" applyAlignment="1">
      <alignment horizontal="right" vertical="center" wrapText="1"/>
    </xf>
    <xf numFmtId="0" fontId="6" fillId="13" borderId="45" xfId="0" applyFont="1" applyFill="1" applyBorder="1" applyAlignment="1">
      <alignment horizontal="right" vertical="center" wrapText="1"/>
    </xf>
    <xf numFmtId="0" fontId="6" fillId="13" borderId="47" xfId="0" applyFont="1" applyFill="1" applyBorder="1" applyAlignment="1">
      <alignment horizontal="right" vertical="center" wrapText="1"/>
    </xf>
    <xf numFmtId="0" fontId="0" fillId="0" borderId="67" xfId="0" applyBorder="1"/>
    <xf numFmtId="0" fontId="0" fillId="0" borderId="68" xfId="0" applyBorder="1"/>
    <xf numFmtId="17" fontId="67" fillId="0" borderId="69" xfId="0" quotePrefix="1" applyNumberFormat="1" applyFont="1" applyBorder="1" applyAlignment="1">
      <alignment horizontal="right"/>
    </xf>
    <xf numFmtId="0" fontId="0" fillId="30" borderId="0" xfId="0" applyFill="1"/>
    <xf numFmtId="0" fontId="0" fillId="0" borderId="70" xfId="0" applyBorder="1"/>
    <xf numFmtId="0" fontId="0" fillId="0" borderId="71" xfId="0" applyBorder="1"/>
    <xf numFmtId="0" fontId="68" fillId="0" borderId="7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71" xfId="0" applyFont="1" applyBorder="1" applyAlignment="1">
      <alignment horizontal="center"/>
    </xf>
    <xf numFmtId="0" fontId="69" fillId="0" borderId="7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71" xfId="0" applyFont="1" applyBorder="1" applyAlignment="1">
      <alignment horizontal="center"/>
    </xf>
    <xf numFmtId="0" fontId="1" fillId="0" borderId="71" xfId="0" applyFont="1" applyBorder="1"/>
    <xf numFmtId="0" fontId="70" fillId="0" borderId="70" xfId="0" applyFont="1" applyBorder="1" applyAlignment="1">
      <alignment vertical="center"/>
    </xf>
    <xf numFmtId="0" fontId="73" fillId="0" borderId="70" xfId="3" applyFont="1" applyBorder="1" applyAlignment="1" applyProtection="1">
      <alignment vertical="center"/>
    </xf>
    <xf numFmtId="0" fontId="74" fillId="0" borderId="70" xfId="0" applyFont="1" applyBorder="1" applyAlignment="1">
      <alignment vertical="center"/>
    </xf>
    <xf numFmtId="0" fontId="66" fillId="0" borderId="70" xfId="3" applyBorder="1" applyAlignment="1" applyProtection="1">
      <alignment vertical="center"/>
    </xf>
    <xf numFmtId="0" fontId="1" fillId="0" borderId="70" xfId="3" applyFont="1" applyBorder="1" applyAlignment="1" applyProtection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/>
    <xf numFmtId="0" fontId="0" fillId="0" borderId="73" xfId="0" applyBorder="1"/>
    <xf numFmtId="0" fontId="0" fillId="0" borderId="74" xfId="0" applyBorder="1"/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  <color rgb="FFFFFF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D17-4C0D-A80C-B751EB858CCC}"/>
              </c:ext>
            </c:extLst>
          </c:dPt>
          <c:dLbls>
            <c:dLbl>
              <c:idx val="0"/>
              <c:layout>
                <c:manualLayout>
                  <c:x val="0.25833333333333336"/>
                  <c:y val="-0.6157411052785069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Maladie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42,4%</a:t>
                    </a:r>
                  </a:p>
                </c:rich>
              </c:tx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17-4C0D-A80C-B751EB858CCC}"/>
                </c:ext>
              </c:extLst>
            </c:dLbl>
            <c:dLbl>
              <c:idx val="1"/>
              <c:layout>
                <c:manualLayout>
                  <c:x val="-0.23055555555555557"/>
                  <c:y val="0.54629629629629628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Retraite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46,7%</a:t>
                    </a:r>
                  </a:p>
                </c:rich>
              </c:tx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17-4C0D-A80C-B751EB858CCC}"/>
                </c:ext>
              </c:extLst>
            </c:dLbl>
            <c:dLbl>
              <c:idx val="2"/>
              <c:layout>
                <c:manualLayout>
                  <c:x val="9.1666447944006996E-2"/>
                  <c:y val="-0.189814814814814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RCO </a:t>
                    </a:r>
                  </a:p>
                  <a:p>
                    <a:r>
                      <a:rPr lang="en-US" b="1"/>
                      <a:t>7,3%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17-4C0D-A80C-B751EB858CCC}"/>
                </c:ext>
              </c:extLst>
            </c:dLbl>
            <c:dLbl>
              <c:idx val="3"/>
              <c:layout>
                <c:manualLayout>
                  <c:x val="0.12070800524934383"/>
                  <c:y val="-6.0185185185185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Famille</a:t>
                    </a:r>
                  </a:p>
                  <a:p>
                    <a:r>
                      <a:rPr lang="en-US"/>
                      <a:t> </a:t>
                    </a:r>
                    <a:r>
                      <a:rPr lang="en-US" b="1"/>
                      <a:t>2,2%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D17-4C0D-A80C-B751EB858CCC}"/>
                </c:ext>
              </c:extLst>
            </c:dLbl>
            <c:dLbl>
              <c:idx val="4"/>
              <c:layout>
                <c:manualLayout>
                  <c:x val="7.2222222222222215E-2"/>
                  <c:y val="8.83485725616472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Atexa</a:t>
                    </a:r>
                  </a:p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D17-4C0D-A80C-B751EB858CCC}"/>
                </c:ext>
              </c:extLst>
            </c:dLbl>
            <c:dLbl>
              <c:idx val="5"/>
              <c:layout>
                <c:manualLayout>
                  <c:x val="-7.5000218722659662E-2"/>
                  <c:y val="0.129629629629629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IJ Amexa</a:t>
                    </a:r>
                  </a:p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0,5%</a:t>
                    </a:r>
                    <a:endParaRPr lang="en-US" b="1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D17-4C0D-A80C-B751EB858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'NSA1 ok'!$A$4:$A$9</c:f>
              <c:strCache>
                <c:ptCount val="6"/>
                <c:pt idx="0">
                  <c:v>ü retraite</c:v>
                </c:pt>
                <c:pt idx="1">
                  <c:v>ü maladie-maternité-invalidité</c:v>
                </c:pt>
                <c:pt idx="2">
                  <c:v>ü retraite complémentaire obligatoire</c:v>
                </c:pt>
                <c:pt idx="3">
                  <c:v>ü famille</c:v>
                </c:pt>
                <c:pt idx="4">
                  <c:v>ü accident du travail et maladie professionnelle</c:v>
                </c:pt>
                <c:pt idx="5">
                  <c:v>ü IJ AMEXA</c:v>
                </c:pt>
              </c:strCache>
            </c:strRef>
          </c:cat>
          <c:val>
            <c:numRef>
              <c:f>'NSA1 ok'!$D$4:$D$9</c:f>
              <c:numCache>
                <c:formatCode>0.0%</c:formatCode>
                <c:ptCount val="6"/>
                <c:pt idx="0">
                  <c:v>0.46690973291017679</c:v>
                </c:pt>
                <c:pt idx="1">
                  <c:v>0.42443308265504071</c:v>
                </c:pt>
                <c:pt idx="2">
                  <c:v>7.2706562659723209E-2</c:v>
                </c:pt>
                <c:pt idx="3">
                  <c:v>2.2046856293316739E-2</c:v>
                </c:pt>
                <c:pt idx="4">
                  <c:v>9.0075097795413051E-3</c:v>
                </c:pt>
                <c:pt idx="5">
                  <c:v>4.8962557022013348E-3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17-4C0D-A80C-B751EB858C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7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recettes selon la branche en 2022</a:t>
            </a:r>
          </a:p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+ 1,0 point)</a:t>
            </a:r>
          </a:p>
        </c:rich>
      </c:tx>
      <c:layout>
        <c:manualLayout>
          <c:xMode val="edge"/>
          <c:yMode val="edge"/>
          <c:x val="0.14274547006925339"/>
          <c:y val="4.847963537206529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ok'!$A$38</c:f>
              <c:strCache>
                <c:ptCount val="1"/>
                <c:pt idx="0">
                  <c:v>MALADIE (avec IJ Amexa)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4E-4F8B-891F-422D02F4D5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4E-4F8B-891F-422D02F4D5C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344E-4F8B-891F-422D02F4D5C4}"/>
              </c:ext>
            </c:extLst>
          </c:dPt>
          <c:dLbls>
            <c:dLbl>
              <c:idx val="0"/>
              <c:layout>
                <c:manualLayout>
                  <c:x val="0"/>
                  <c:y val="0.118506199497729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4E-4F8B-891F-422D02F4D5C4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 ok'!$F$41</c:f>
              <c:numCache>
                <c:formatCode>\+0.0;\-0.0</c:formatCode>
                <c:ptCount val="1"/>
                <c:pt idx="0">
                  <c:v>0.53083344274655475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4E-4F8B-891F-422D02F4D5C4}"/>
            </c:ext>
          </c:extLst>
        </c:ser>
        <c:ser>
          <c:idx val="1"/>
          <c:order val="1"/>
          <c:tx>
            <c:strRef>
              <c:f>'%charges ok'!$A$39</c:f>
              <c:strCache>
                <c:ptCount val="1"/>
                <c:pt idx="0">
                  <c:v>Atexa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 ok'!$F$42</c:f>
              <c:numCache>
                <c:formatCode>\+0.0;\-0.0</c:formatCode>
                <c:ptCount val="1"/>
                <c:pt idx="0">
                  <c:v>-0.11063290717634683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44E-4F8B-891F-422D02F4D5C4}"/>
            </c:ext>
          </c:extLst>
        </c:ser>
        <c:ser>
          <c:idx val="4"/>
          <c:order val="2"/>
          <c:tx>
            <c:strRef>
              <c:f>'%charges ok'!$A$40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344E-4F8B-891F-422D02F4D5C4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344E-4F8B-891F-422D02F4D5C4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344E-4F8B-891F-422D02F4D5C4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344E-4F8B-891F-422D02F4D5C4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344E-4F8B-891F-422D02F4D5C4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 ok'!$F$43</c:f>
              <c:numCache>
                <c:formatCode>\+0.0;\-0.0</c:formatCode>
                <c:ptCount val="1"/>
                <c:pt idx="0">
                  <c:v>0.65721579931399754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44E-4F8B-891F-422D02F4D5C4}"/>
            </c:ext>
          </c:extLst>
        </c:ser>
        <c:ser>
          <c:idx val="3"/>
          <c:order val="3"/>
          <c:tx>
            <c:strRef>
              <c:f>'%charges ok'!$A$41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344E-4F8B-891F-422D02F4D5C4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344E-4F8B-891F-422D02F4D5C4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344E-4F8B-891F-422D02F4D5C4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344E-4F8B-891F-422D02F4D5C4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 ok'!$F$44</c:f>
              <c:numCache>
                <c:formatCode>\+0.0;\-0.0</c:formatCode>
                <c:ptCount val="1"/>
                <c:pt idx="0">
                  <c:v>-2.1348439297108781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344E-4F8B-891F-422D02F4D5C4}"/>
            </c:ext>
          </c:extLst>
        </c:ser>
        <c:ser>
          <c:idx val="2"/>
          <c:order val="4"/>
          <c:tx>
            <c:strRef>
              <c:f>'%charges ok'!$A$42</c:f>
              <c:strCache>
                <c:ptCount val="1"/>
                <c:pt idx="0">
                  <c:v>RCO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344E-4F8B-891F-422D02F4D5C4}"/>
              </c:ext>
            </c:extLst>
          </c:dPt>
          <c:dLbls>
            <c:numFmt formatCode="\+0.0;\-0.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ok'!$F$45</c:f>
              <c:numCache>
                <c:formatCode>\+0.0;\-0.0</c:formatCode>
                <c:ptCount val="1"/>
                <c:pt idx="0">
                  <c:v>2.0398332428700088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344E-4F8B-891F-422D02F4D5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89024"/>
        <c:axId val="436486672"/>
        <c:extLst/>
      </c:barChart>
      <c:catAx>
        <c:axId val="43648902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86672"/>
        <c:crosses val="autoZero"/>
        <c:auto val="1"/>
        <c:lblAlgn val="ctr"/>
        <c:lblOffset val="100"/>
        <c:noMultiLvlLbl val="0"/>
      </c:catAx>
      <c:valAx>
        <c:axId val="436486672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5756253359896281E-2"/>
              <c:y val="0.1943265678157146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89024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26841644435078"/>
          <c:y val="9.881110402825799E-2"/>
          <c:w val="0.48413617186740548"/>
          <c:h val="0.835198549730374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CA-4697-8FEA-19FB6321349D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CA-4697-8FEA-19FB6321349D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CA-4697-8FEA-19FB6321349D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CA-4697-8FEA-19FB6321349D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CA-4697-8FEA-19FB6321349D}"/>
              </c:ext>
            </c:extLst>
          </c:dPt>
          <c:dPt>
            <c:idx val="5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CA-4697-8FEA-19FB6321349D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CA-4697-8FEA-19FB6321349D}"/>
              </c:ext>
            </c:extLst>
          </c:dPt>
          <c:dPt>
            <c:idx val="7"/>
            <c:bubble3D val="0"/>
            <c:explosion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CA-4697-8FEA-19FB6321349D}"/>
              </c:ext>
            </c:extLst>
          </c:dPt>
          <c:dLbls>
            <c:dLbl>
              <c:idx val="0"/>
              <c:layout>
                <c:manualLayout>
                  <c:x val="-4.2649086885171932E-2"/>
                  <c:y val="0.192699780183466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76490E-8851-4D28-8C56-85D3E48A852C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</a:t>
                    </a:r>
                    <a:fld id="{EDF55D2F-DF57-4247-BFD1-C2DEDC894796}" type="VALU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 sz="1000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2,6 Mds €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(-9,3%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89265764856318"/>
                      <c:h val="0.241183454070598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CA-4697-8FEA-19FB632134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CA-4697-8FEA-19FB6321349D}"/>
                </c:ext>
              </c:extLst>
            </c:dLbl>
            <c:dLbl>
              <c:idx val="2"/>
              <c:layout>
                <c:manualLayout>
                  <c:x val="-0.20515945765479515"/>
                  <c:y val="-0.278241372843001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02E5B2-653E-4010-864D-AF69EFA68F38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</a:t>
                    </a:r>
                    <a:fld id="{EB4F1145-EF17-4D0B-945D-F34EF22C9A29}" type="VALU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 sz="1000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2,6 Mds</a:t>
                    </a:r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 €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0" baseline="0">
                        <a:solidFill>
                          <a:schemeClr val="bg1"/>
                        </a:solidFill>
                      </a:rPr>
                      <a:t>(-1,0%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16039661708955"/>
                      <c:h val="0.230643680338410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CA-4697-8FEA-19FB6321349D}"/>
                </c:ext>
              </c:extLst>
            </c:dLbl>
            <c:dLbl>
              <c:idx val="3"/>
              <c:layout>
                <c:manualLayout>
                  <c:x val="2.4617877876494994E-2"/>
                  <c:y val="6.31613893208685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82DAB23-A7FE-4650-8DE6-CF61093D539A}" type="CATEGORYNAME">
                      <a:rPr lang="en-US" sz="1000"/>
                      <a:pPr>
                        <a:defRPr>
                          <a:solidFill>
                            <a:schemeClr val="accent1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(17,5%)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1"/>
                      <a:t>1,3 Md €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(+3,2%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52345679012341"/>
                      <c:h val="0.205215232649244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1CA-4697-8FEA-19FB6321349D}"/>
                </c:ext>
              </c:extLst>
            </c:dLbl>
            <c:dLbl>
              <c:idx val="4"/>
              <c:layout>
                <c:manualLayout>
                  <c:x val="-2.1714468492115804E-2"/>
                  <c:y val="0.220298532956292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B60E68-954B-4F11-945D-0B3014511F71}" type="CATEGORYNAM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/>
                      <a:t>(8,6%)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1"/>
                      <a:t>0,7 Md €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</a:rPr>
                      <a:t>(-8,6% par rapport à 2021)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119350636725963"/>
                      <c:h val="0.188655231904617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1CA-4697-8FEA-19FB6321349D}"/>
                </c:ext>
              </c:extLst>
            </c:dLbl>
            <c:dLbl>
              <c:idx val="5"/>
              <c:layout>
                <c:manualLayout>
                  <c:x val="-4.0732675066445886E-2"/>
                  <c:y val="9.17022328849552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AC974C-E85E-4F04-A3E4-CF0904FD43F9}" type="CATEGORYNAM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/>
                      <a:t>(</a:t>
                    </a:r>
                    <a:fld id="{2AE1832F-D3F9-4ABC-AC4B-9426EC9C75B7}" type="VALU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[VALEUR]</a:t>
                    </a:fld>
                    <a:r>
                      <a:rPr lang="en-US" sz="1000"/>
                      <a:t>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1"/>
                      <a:t>0,03 Md €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</a:rPr>
                      <a:t>(-28,4%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85432098765428"/>
                      <c:h val="0.21416772383554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1CA-4697-8FEA-19FB6321349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CA-4697-8FEA-19FB6321349D}"/>
                </c:ext>
              </c:extLst>
            </c:dLbl>
            <c:dLbl>
              <c:idx val="7"/>
              <c:layout>
                <c:manualLayout>
                  <c:x val="-7.009098619929599E-3"/>
                  <c:y val="-0.162698005128680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7490CD9-ED0C-4070-87D1-9B5E1F0448DC}" type="CATEGORYNAME">
                      <a:rPr lang="en-US" sz="1000"/>
                      <a:pPr>
                        <a:defRPr>
                          <a:solidFill>
                            <a:schemeClr val="accent1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(0,2%)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1"/>
                      <a:t>0,01 Md €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0"/>
                      <a:t>(-67,4% par</a:t>
                    </a:r>
                    <a:r>
                      <a:rPr lang="en-US" sz="1000" b="0" baseline="0"/>
                      <a:t>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24563660158051"/>
                      <c:h val="0.240389864548806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1CA-4697-8FEA-19FB63213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'%produitsRetraite ok'!$A$2:$A$9</c:f>
              <c:strCache>
                <c:ptCount val="8"/>
                <c:pt idx="0">
                  <c:v>ITAF</c:v>
                </c:pt>
                <c:pt idx="1">
                  <c:v>Contributions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'%produitsRetraite ok'!$D$2:$D$9</c:f>
              <c:numCache>
                <c:formatCode>0.0%</c:formatCode>
                <c:ptCount val="8"/>
                <c:pt idx="0">
                  <c:v>0.36627844321814534</c:v>
                </c:pt>
                <c:pt idx="1">
                  <c:v>0</c:v>
                </c:pt>
                <c:pt idx="2">
                  <c:v>0.36698918272925152</c:v>
                </c:pt>
                <c:pt idx="3">
                  <c:v>0.17469737444945876</c:v>
                </c:pt>
                <c:pt idx="4">
                  <c:v>8.5696772518920453E-2</c:v>
                </c:pt>
                <c:pt idx="5">
                  <c:v>4.3671568114399539E-3</c:v>
                </c:pt>
                <c:pt idx="6">
                  <c:v>0</c:v>
                </c:pt>
                <c:pt idx="7">
                  <c:v>1.9710702727841435E-3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CA-4697-8FEA-19FB632134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ok'!$B$37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 ok'!$A$38:$A$42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'%produitsRetraite ok'!$B$37:$B$41</c:f>
              <c:numCache>
                <c:formatCode>#\ ##0.0</c:formatCode>
                <c:ptCount val="5"/>
                <c:pt idx="0">
                  <c:v>7204.82320239</c:v>
                </c:pt>
                <c:pt idx="1">
                  <c:v>456.17965657000002</c:v>
                </c:pt>
                <c:pt idx="2">
                  <c:v>550.84491793999996</c:v>
                </c:pt>
                <c:pt idx="3">
                  <c:v>7560.6477771599994</c:v>
                </c:pt>
                <c:pt idx="4">
                  <c:v>906.74481027999991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3-4BCE-92A7-9FD1350727EE}"/>
            </c:ext>
          </c:extLst>
        </c:ser>
        <c:ser>
          <c:idx val="1"/>
          <c:order val="1"/>
          <c:tx>
            <c:strRef>
              <c:f>'%charges ok'!$C$37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F3-4BCE-92A7-9FD1350727EE}"/>
                </c:ext>
              </c:extLst>
            </c:dLbl>
            <c:dLbl>
              <c:idx val="3"/>
              <c:layout>
                <c:manualLayout>
                  <c:x val="1.944444444444444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F3-4BCE-92A7-9FD135072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 ok'!$A$38:$A$42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'%produitsRetraite ok'!$C$37:$C$41</c:f>
              <c:numCache>
                <c:formatCode>#\ ##0.0</c:formatCode>
                <c:ptCount val="5"/>
                <c:pt idx="0">
                  <c:v>7293.3621882400003</c:v>
                </c:pt>
                <c:pt idx="1">
                  <c:v>437.72692805999998</c:v>
                </c:pt>
                <c:pt idx="2">
                  <c:v>660.46352081999999</c:v>
                </c:pt>
                <c:pt idx="3">
                  <c:v>7204.5720267200004</c:v>
                </c:pt>
                <c:pt idx="4">
                  <c:v>1246.9734998900001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3-4BCE-92A7-9FD13507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90200"/>
        <c:axId val="436490592"/>
      </c:barChart>
      <c:catAx>
        <c:axId val="43649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0592"/>
        <c:crosses val="autoZero"/>
        <c:auto val="1"/>
        <c:lblAlgn val="ctr"/>
        <c:lblOffset val="100"/>
        <c:noMultiLvlLbl val="0"/>
      </c:catAx>
      <c:valAx>
        <c:axId val="436490592"/>
        <c:scaling>
          <c:orientation val="minMax"/>
          <c:max val="9000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0200"/>
        <c:crosses val="autoZero"/>
        <c:crossBetween val="between"/>
        <c:majorUnit val="1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683701957637457"/>
          <c:y val="5.6235016666996152E-2"/>
          <c:w val="0.48194158851162722"/>
          <c:h val="0.86474064799680617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5-4154-97FC-3DDB4B3DEC83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5-4154-97FC-3DDB4B3DEC83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5-4154-97FC-3DDB4B3DEC83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5-4154-97FC-3DDB4B3DEC83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55-4154-97FC-3DDB4B3DEC83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55-4154-97FC-3DDB4B3DEC83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55-4154-97FC-3DDB4B3DEC83}"/>
              </c:ext>
            </c:extLst>
          </c:dPt>
          <c:dPt>
            <c:idx val="7"/>
            <c:bubble3D val="0"/>
            <c:explosion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55-4154-97FC-3DDB4B3DEC83}"/>
              </c:ext>
            </c:extLst>
          </c:dPt>
          <c:dLbls>
            <c:dLbl>
              <c:idx val="0"/>
              <c:layout>
                <c:manualLayout>
                  <c:x val="-0.17772589732015989"/>
                  <c:y val="0.185777672057691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DDDB52-61E5-436F-BB75-C983CFCB8EAA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(</a:t>
                    </a:r>
                    <a:fld id="{DD6D15DD-49BA-49F3-AA6C-3DD608A40C47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666,0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M€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(+112,5 %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94063560526271"/>
                      <c:h val="0.225547013538227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55-4154-97FC-3DDB4B3DEC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55-4154-97FC-3DDB4B3DEC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55-4154-97FC-3DDB4B3DEC83}"/>
                </c:ext>
              </c:extLst>
            </c:dLbl>
            <c:dLbl>
              <c:idx val="3"/>
              <c:layout>
                <c:manualLayout>
                  <c:x val="0.12864240395147458"/>
                  <c:y val="-0.202683703731922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98DC48-01B4-4065-8A8D-1FB756FAC1FD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(</a:t>
                    </a:r>
                    <a:fld id="{1E57013C-FC11-4C47-8737-C88CE48AFF0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470,0 M€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(+3,3 % par rapport à 2021)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06377785579349"/>
                      <c:h val="0.275250138513183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255-4154-97FC-3DDB4B3DEC83}"/>
                </c:ext>
              </c:extLst>
            </c:dLbl>
            <c:dLbl>
              <c:idx val="4"/>
              <c:layout>
                <c:manualLayout>
                  <c:x val="-5.3197098394196791E-2"/>
                  <c:y val="0.26131990661570104"/>
                </c:manualLayout>
              </c:layout>
              <c:tx>
                <c:rich>
                  <a:bodyPr/>
                  <a:lstStyle/>
                  <a:p>
                    <a:fld id="{B0FC4307-6F42-4DDB-8288-E9659F85AB80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/>
                      <a:t>(</a:t>
                    </a:r>
                    <a:fld id="{F7658547-ABE1-4200-9FDE-60047C4EA247}" type="VALUE">
                      <a:rPr lang="en-US"/>
                      <a:pPr/>
                      <a:t>[VALEUR]</a:t>
                    </a:fld>
                    <a:r>
                      <a:rPr lang="en-US"/>
                      <a:t>)</a:t>
                    </a:r>
                  </a:p>
                  <a:p>
                    <a:r>
                      <a:rPr lang="en-US" b="1"/>
                      <a:t>109,0 M€</a:t>
                    </a:r>
                  </a:p>
                  <a:p>
                    <a:r>
                      <a:rPr lang="en-US" sz="1000"/>
                      <a:t>(-17,1% par rapport à 2021)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88886641978743"/>
                      <c:h val="0.225547127928212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255-4154-97FC-3DDB4B3DEC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5-4154-97FC-3DDB4B3DEC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55-4154-97FC-3DDB4B3DEC83}"/>
                </c:ext>
              </c:extLst>
            </c:dLbl>
            <c:dLbl>
              <c:idx val="7"/>
              <c:layout>
                <c:manualLayout>
                  <c:x val="-1.1553571727100967E-3"/>
                  <c:y val="-2.73325752283238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Cotisations</a:t>
                    </a:r>
                    <a:r>
                      <a:rPr lang="en-US" baseline="0"/>
                      <a:t> prises en charge par l'Eat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(0,2%)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1,7M€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(-75,6% par rapport</a:t>
                    </a:r>
                    <a:r>
                      <a:rPr lang="en-US" sz="1000" baseline="0"/>
                      <a:t>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094703049759"/>
                      <c:h val="0.2946592147273923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6255-4154-97FC-3DDB4B3DE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'%produitsRCO ok'!$A$2:$A$9</c:f>
              <c:strCache>
                <c:ptCount val="8"/>
                <c:pt idx="0">
                  <c:v>ITAF</c:v>
                </c:pt>
                <c:pt idx="1">
                  <c:v>Contributions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'%produitsRCO ok'!$D$2:$D$9</c:f>
              <c:numCache>
                <c:formatCode>0.0%</c:formatCode>
                <c:ptCount val="8"/>
                <c:pt idx="0">
                  <c:v>0.53431117953891893</c:v>
                </c:pt>
                <c:pt idx="1">
                  <c:v>0</c:v>
                </c:pt>
                <c:pt idx="2">
                  <c:v>0</c:v>
                </c:pt>
                <c:pt idx="3">
                  <c:v>0.37696965504196089</c:v>
                </c:pt>
                <c:pt idx="4">
                  <c:v>8.7393846468760902E-2</c:v>
                </c:pt>
                <c:pt idx="5">
                  <c:v>0</c:v>
                </c:pt>
                <c:pt idx="6">
                  <c:v>0</c:v>
                </c:pt>
                <c:pt idx="7">
                  <c:v>1.3253189503592377E-3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255-4154-97FC-3DDB4B3DE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ok'!$B$37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 ok'!$A$38:$A$42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'%produitsRCO ok'!$B$41:$B$45</c:f>
              <c:numCache>
                <c:formatCode>#\ ##0.0</c:formatCode>
                <c:ptCount val="5"/>
                <c:pt idx="0">
                  <c:v>7204.82320239</c:v>
                </c:pt>
                <c:pt idx="1">
                  <c:v>456.17965657000002</c:v>
                </c:pt>
                <c:pt idx="2">
                  <c:v>550.84491793999996</c:v>
                </c:pt>
                <c:pt idx="3">
                  <c:v>7560.6477771599994</c:v>
                </c:pt>
                <c:pt idx="4">
                  <c:v>906.74481027999991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CF7-A5E1-28021C3ED2B1}"/>
            </c:ext>
          </c:extLst>
        </c:ser>
        <c:ser>
          <c:idx val="1"/>
          <c:order val="1"/>
          <c:tx>
            <c:strRef>
              <c:f>'%charges ok'!$C$37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B-4CF7-A5E1-28021C3ED2B1}"/>
                </c:ext>
              </c:extLst>
            </c:dLbl>
            <c:dLbl>
              <c:idx val="3"/>
              <c:layout>
                <c:manualLayout>
                  <c:x val="1.944444444444444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B-4CF7-A5E1-28021C3ED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 ok'!$A$38:$A$42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'%produitsRCO ok'!$C$41:$C$45</c:f>
              <c:numCache>
                <c:formatCode>#\ ##0.0</c:formatCode>
                <c:ptCount val="5"/>
                <c:pt idx="0">
                  <c:v>7293.3621882400003</c:v>
                </c:pt>
                <c:pt idx="1">
                  <c:v>437.72692805999998</c:v>
                </c:pt>
                <c:pt idx="2">
                  <c:v>660.46352081999999</c:v>
                </c:pt>
                <c:pt idx="3">
                  <c:v>7204.5720267200004</c:v>
                </c:pt>
                <c:pt idx="4">
                  <c:v>1246.9734998900001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B-4CF7-A5E1-28021C3E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0680"/>
        <c:axId val="436181128"/>
      </c:barChart>
      <c:catAx>
        <c:axId val="11834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181128"/>
        <c:crosses val="autoZero"/>
        <c:auto val="1"/>
        <c:lblAlgn val="ctr"/>
        <c:lblOffset val="100"/>
        <c:noMultiLvlLbl val="0"/>
      </c:catAx>
      <c:valAx>
        <c:axId val="43618112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18340680"/>
        <c:crosses val="autoZero"/>
        <c:crossBetween val="between"/>
        <c:majorUnit val="2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0C5-4E9C-ADBF-0D6D3F364A33}"/>
              </c:ext>
            </c:extLst>
          </c:dPt>
          <c:dLbls>
            <c:dLbl>
              <c:idx val="0"/>
              <c:layout>
                <c:manualLayout>
                  <c:x val="0.1388888888888889"/>
                  <c:y val="-0.25462962962962954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Retraite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49,3%</a:t>
                    </a:r>
                  </a:p>
                </c:rich>
              </c:tx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0C5-4E9C-ADBF-0D6D3F364A33}"/>
                </c:ext>
              </c:extLst>
            </c:dLbl>
            <c:dLbl>
              <c:idx val="1"/>
              <c:layout>
                <c:manualLayout>
                  <c:x val="-9.9999999999999978E-2"/>
                  <c:y val="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RCO</a:t>
                    </a:r>
                  </a:p>
                  <a:p>
                    <a:r>
                      <a:rPr lang="en-US"/>
                      <a:t> </a:t>
                    </a:r>
                    <a:r>
                      <a:rPr lang="en-US" b="1"/>
                      <a:t>18,5%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0C5-4E9C-ADBF-0D6D3F364A33}"/>
                </c:ext>
              </c:extLst>
            </c:dLbl>
            <c:dLbl>
              <c:idx val="2"/>
              <c:layout>
                <c:manualLayout>
                  <c:x val="0.14999978127734034"/>
                  <c:y val="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Maladie </a:t>
                    </a:r>
                  </a:p>
                  <a:p>
                    <a:r>
                      <a:rPr lang="en-US" b="1"/>
                      <a:t>18,0%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0C5-4E9C-ADBF-0D6D3F364A33}"/>
                </c:ext>
              </c:extLst>
            </c:dLbl>
            <c:dLbl>
              <c:idx val="3"/>
              <c:layout>
                <c:manualLayout>
                  <c:x val="5.6819116360454947E-2"/>
                  <c:y val="-1.5895939208379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Famille</a:t>
                    </a:r>
                  </a:p>
                  <a:p>
                    <a:r>
                      <a:rPr lang="en-US" b="1"/>
                      <a:t>4,1%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0C5-4E9C-ADBF-0D6D3F364A33}"/>
                </c:ext>
              </c:extLst>
            </c:dLbl>
            <c:dLbl>
              <c:idx val="4"/>
              <c:layout>
                <c:manualLayout>
                  <c:x val="6.6666666666666763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Atexa</a:t>
                    </a:r>
                  </a:p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7,4%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0C5-4E9C-ADBF-0D6D3F364A33}"/>
                </c:ext>
              </c:extLst>
            </c:dLbl>
            <c:dLbl>
              <c:idx val="5"/>
              <c:layout>
                <c:manualLayout>
                  <c:x val="7.4999999999999997E-2"/>
                  <c:y val="9.722185768445611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IJ</a:t>
                    </a:r>
                    <a:r>
                      <a:rPr lang="en-US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Amexa</a:t>
                    </a:r>
                    <a:endParaRPr lang="en-US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2,7%</a:t>
                    </a:r>
                    <a:endParaRPr lang="en-US" b="1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0C5-4E9C-ADBF-0D6D3F364A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'NSA1 ok'!$A$12:$A$17</c:f>
              <c:strCache>
                <c:ptCount val="6"/>
                <c:pt idx="0">
                  <c:v>ü retraite</c:v>
                </c:pt>
                <c:pt idx="1">
                  <c:v>ü retraite complémentaire obligatoire</c:v>
                </c:pt>
                <c:pt idx="2">
                  <c:v>ü maladie et invalidité</c:v>
                </c:pt>
                <c:pt idx="3">
                  <c:v>ü famille</c:v>
                </c:pt>
                <c:pt idx="4">
                  <c:v>ü accident du travail et maladie professionnelle</c:v>
                </c:pt>
                <c:pt idx="5">
                  <c:v>ü IJ AMEXA</c:v>
                </c:pt>
              </c:strCache>
            </c:strRef>
          </c:cat>
          <c:val>
            <c:numRef>
              <c:f>'NSA1 ok'!$D$12:$D$17</c:f>
              <c:numCache>
                <c:formatCode>0.0%</c:formatCode>
                <c:ptCount val="6"/>
                <c:pt idx="0">
                  <c:v>0.49421395938918372</c:v>
                </c:pt>
                <c:pt idx="1">
                  <c:v>0.18457975237121946</c:v>
                </c:pt>
                <c:pt idx="2">
                  <c:v>0.17971049100601508</c:v>
                </c:pt>
                <c:pt idx="3">
                  <c:v>4.1043706138738284E-2</c:v>
                </c:pt>
                <c:pt idx="4">
                  <c:v>7.3627578205149299E-2</c:v>
                </c:pt>
                <c:pt idx="5">
                  <c:v>2.6824512889694025E-2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C5-4E9C-ADBF-0D6D3F364A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7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63472537938004"/>
          <c:y val="8.8890799732937634E-2"/>
          <c:w val="0.53150533778906051"/>
          <c:h val="0.8521343284324948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3-4D92-BCEE-FC3E6593564C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3-4D92-BCEE-FC3E6593564C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3-4D92-BCEE-FC3E6593564C}"/>
              </c:ext>
            </c:extLst>
          </c:dPt>
          <c:dPt>
            <c:idx val="3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3-4D92-BCEE-FC3E6593564C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3-4D92-BCEE-FC3E6593564C}"/>
              </c:ext>
            </c:extLst>
          </c:dPt>
          <c:dPt>
            <c:idx val="5"/>
            <c:bubble3D val="0"/>
            <c:explosion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93-4D92-BCEE-FC3E6593564C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93-4D92-BCEE-FC3E6593564C}"/>
              </c:ext>
            </c:extLst>
          </c:dPt>
          <c:dLbls>
            <c:dLbl>
              <c:idx val="0"/>
              <c:layout>
                <c:manualLayout>
                  <c:x val="0.22094527015484011"/>
                  <c:y val="-9.407678917406948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bg1"/>
                        </a:solidFill>
                      </a:rPr>
                      <a:t>Prestations légales, RCO et IJ Amexa
85,8%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21067284745428"/>
                      <c:h val="0.3587373913875804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7093-4D92-BCEE-FC3E6593564C}"/>
                </c:ext>
              </c:extLst>
            </c:dLbl>
            <c:dLbl>
              <c:idx val="1"/>
              <c:layout>
                <c:manualLayout>
                  <c:x val="-0.15726897629678999"/>
                  <c:y val="-0.16876969078774195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Charges techniques*
3,3%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93-4D92-BCEE-FC3E6593564C}"/>
                </c:ext>
              </c:extLst>
            </c:dLbl>
            <c:dLbl>
              <c:idx val="2"/>
              <c:layout>
                <c:manualLayout>
                  <c:x val="3.6861230891137027E-2"/>
                  <c:y val="-0.2965751801868963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868617-1C4C-4283-8587-E1022AD78CA0}" type="CATEGORYNAME">
                      <a:rPr lang="en-US"/>
                      <a:pPr>
                        <a:defRPr sz="1200">
                          <a:solidFill>
                            <a:schemeClr val="tx2"/>
                          </a:solidFill>
                        </a:defRPr>
                      </a:pPr>
                      <a:t>[NOM DE CATÉGORIE]</a:t>
                    </a:fld>
                    <a:endParaRPr lang="en-US" baseline="0"/>
                  </a:p>
                  <a:p>
                    <a:pPr>
                      <a:defRPr sz="1200">
                        <a:solidFill>
                          <a:schemeClr val="tx2"/>
                        </a:solidFill>
                      </a:defRPr>
                    </a:pPr>
                    <a:r>
                      <a:rPr lang="en-US" baseline="0"/>
                      <a:t>6,2%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093-4D92-BCEE-FC3E6593564C}"/>
                </c:ext>
              </c:extLst>
            </c:dLbl>
            <c:dLbl>
              <c:idx val="3"/>
              <c:layout>
                <c:manualLayout>
                  <c:x val="0.11182192967231648"/>
                  <c:y val="-0.24071586178496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3-4D92-BCEE-FC3E6593564C}"/>
                </c:ext>
              </c:extLst>
            </c:dLbl>
            <c:dLbl>
              <c:idx val="4"/>
              <c:layout>
                <c:manualLayout>
                  <c:x val="8.3499726497570648E-2"/>
                  <c:y val="-7.636324479200767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94611637281546"/>
                      <c:h val="0.196869090791475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093-4D92-BCEE-FC3E6593564C}"/>
                </c:ext>
              </c:extLst>
            </c:dLbl>
            <c:dLbl>
              <c:idx val="5"/>
              <c:layout>
                <c:manualLayout>
                  <c:x val="9.151451696953182E-2"/>
                  <c:y val="0.110772322267357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2"/>
                        </a:solidFill>
                      </a:rPr>
                      <a:t>Autres charges
&lt; 0,1%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093-4D92-BCEE-FC3E6593564C}"/>
                </c:ext>
              </c:extLst>
            </c:dLbl>
            <c:dLbl>
              <c:idx val="6"/>
              <c:layout>
                <c:manualLayout>
                  <c:x val="-5.2019754361305931E-2"/>
                  <c:y val="0.2135274091918096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Charges financières
&lt;</a:t>
                    </a:r>
                    <a:r>
                      <a:rPr lang="en-US" sz="12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</a:t>
                    </a: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093-4D92-BCEE-FC3E659356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'%charges ok'!$A$2:$A$8</c:f>
              <c:strCache>
                <c:ptCount val="7"/>
                <c:pt idx="0">
                  <c:v>Prestations légales</c:v>
                </c:pt>
                <c:pt idx="1">
                  <c:v>Charges techniques*</c:v>
                </c:pt>
                <c:pt idx="2">
                  <c:v>Dotations aux provisions</c:v>
                </c:pt>
                <c:pt idx="3">
                  <c:v>Gestion</c:v>
                </c:pt>
                <c:pt idx="4">
                  <c:v>Prestations extra-légales</c:v>
                </c:pt>
                <c:pt idx="5">
                  <c:v>Autres charges</c:v>
                </c:pt>
                <c:pt idx="6">
                  <c:v>Charges financières</c:v>
                </c:pt>
              </c:strCache>
            </c:strRef>
          </c:cat>
          <c:val>
            <c:numRef>
              <c:f>'%charges ok'!$C$2:$C$8</c:f>
              <c:numCache>
                <c:formatCode>#\ ##0.0</c:formatCode>
                <c:ptCount val="7"/>
                <c:pt idx="0">
                  <c:v>14285.787028759998</c:v>
                </c:pt>
                <c:pt idx="1">
                  <c:v>549.89695474999996</c:v>
                </c:pt>
                <c:pt idx="2">
                  <c:v>1024.7162281400001</c:v>
                </c:pt>
                <c:pt idx="3">
                  <c:v>534.21964838999997</c:v>
                </c:pt>
                <c:pt idx="4">
                  <c:v>246.26101210000343</c:v>
                </c:pt>
                <c:pt idx="5">
                  <c:v>9.9508104500000005</c:v>
                </c:pt>
                <c:pt idx="6">
                  <c:v>7.9906330300000006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3-4D92-BCEE-FC3E65935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ok'!$B$37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 ok'!$A$38:$A$43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DEPENSES</c:v>
                </c:pt>
              </c:strCache>
            </c:strRef>
          </c:cat>
          <c:val>
            <c:numRef>
              <c:f>'%charges ok'!$B$38:$B$43</c:f>
              <c:numCache>
                <c:formatCode>#\ ##0.0</c:formatCode>
                <c:ptCount val="6"/>
                <c:pt idx="0">
                  <c:v>7199.0201815900009</c:v>
                </c:pt>
                <c:pt idx="1">
                  <c:v>417.89872454999994</c:v>
                </c:pt>
                <c:pt idx="2">
                  <c:v>550.85053779000009</c:v>
                </c:pt>
                <c:pt idx="3">
                  <c:v>7053.1216465200005</c:v>
                </c:pt>
                <c:pt idx="4">
                  <c:v>917.18108596000002</c:v>
                </c:pt>
                <c:pt idx="5">
                  <c:v>16138.072176410002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E-4309-A993-485F9A7820A4}"/>
            </c:ext>
          </c:extLst>
        </c:ser>
        <c:ser>
          <c:idx val="1"/>
          <c:order val="1"/>
          <c:tx>
            <c:strRef>
              <c:f>'%charges ok'!$C$37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E-4309-A993-485F9A7820A4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9E-4309-A993-485F9A7820A4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E-4309-A993-485F9A7820A4}"/>
                </c:ext>
              </c:extLst>
            </c:dLbl>
            <c:dLbl>
              <c:idx val="3"/>
              <c:layout>
                <c:manualLayout>
                  <c:x val="4.0699408559264072E-2"/>
                  <c:y val="-4.4969075793429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9E-4309-A993-485F9A7820A4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9E-4309-A993-485F9A7820A4}"/>
                </c:ext>
              </c:extLst>
            </c:dLbl>
            <c:dLbl>
              <c:idx val="5"/>
              <c:layout>
                <c:manualLayout>
                  <c:x val="2.5000000000000001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9E-4309-A993-485F9A7820A4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ok'!$A$38:$A$43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DEPENSES</c:v>
                </c:pt>
              </c:strCache>
            </c:strRef>
          </c:cat>
          <c:val>
            <c:numRef>
              <c:f>'%charges ok'!$C$38:$C$43</c:f>
              <c:numCache>
                <c:formatCode>#\ ##0.0</c:formatCode>
                <c:ptCount val="6"/>
                <c:pt idx="0">
                  <c:v>7303.6836321400006</c:v>
                </c:pt>
                <c:pt idx="1">
                  <c:v>422.34210016999998</c:v>
                </c:pt>
                <c:pt idx="2">
                  <c:v>660.4635208200001</c:v>
                </c:pt>
                <c:pt idx="3">
                  <c:v>7099.6168018699982</c:v>
                </c:pt>
                <c:pt idx="4">
                  <c:v>1172.71626062</c:v>
                </c:pt>
                <c:pt idx="5">
                  <c:v>16658.82231562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9E-4309-A993-485F9A782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97600"/>
        <c:axId val="156499560"/>
      </c:barChart>
      <c:catAx>
        <c:axId val="156497600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56499560"/>
        <c:crosses val="autoZero"/>
        <c:auto val="1"/>
        <c:lblAlgn val="ctr"/>
        <c:lblOffset val="100"/>
        <c:noMultiLvlLbl val="0"/>
      </c:catAx>
      <c:valAx>
        <c:axId val="1564995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56497600"/>
        <c:crosses val="autoZero"/>
        <c:crossBetween val="between"/>
        <c:majorUnit val="2000"/>
      </c:valAx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dépenses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</a:t>
            </a:r>
            <a:r>
              <a:rPr lang="fr-FR" sz="1100" b="0" baseline="0">
                <a:solidFill>
                  <a:schemeClr val="accent1">
                    <a:lumMod val="50000"/>
                  </a:schemeClr>
                </a:solidFill>
              </a:rPr>
              <a:t> + 3,2</a:t>
            </a: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 points)</a:t>
            </a:r>
          </a:p>
        </c:rich>
      </c:tx>
      <c:layout>
        <c:manualLayout>
          <c:xMode val="edge"/>
          <c:yMode val="edge"/>
          <c:x val="0.1228477432402089"/>
          <c:y val="1.0487269940676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2294274733983"/>
          <c:y val="0.18812292503172204"/>
          <c:w val="0.8500581537752715"/>
          <c:h val="0.53766523632590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'%charges ok'!$H$13</c:f>
              <c:strCache>
                <c:ptCount val="1"/>
                <c:pt idx="0">
                  <c:v>Prestations légales (+3,4%)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81-42E3-A243-FFE26BDEE6C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81-42E3-A243-FFE26BDEE6C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F81-42E3-A243-FFE26BDEE6C8}"/>
              </c:ext>
            </c:extLst>
          </c:dPt>
          <c:dLbls>
            <c:dLbl>
              <c:idx val="0"/>
              <c:layout>
                <c:manualLayout>
                  <c:x val="0"/>
                  <c:y val="0.140052279963744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1-42E3-A243-FFE26BDEE6C8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ok'!$I$13</c:f>
              <c:numCache>
                <c:formatCode>\+0.0;\-0.0</c:formatCode>
                <c:ptCount val="1"/>
                <c:pt idx="0">
                  <c:v>2.8831025379234676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81-42E3-A243-FFE26BDEE6C8}"/>
            </c:ext>
          </c:extLst>
        </c:ser>
        <c:ser>
          <c:idx val="1"/>
          <c:order val="1"/>
          <c:tx>
            <c:strRef>
              <c:f>'%charges ok'!$H$14</c:f>
              <c:strCache>
                <c:ptCount val="1"/>
                <c:pt idx="0">
                  <c:v>Charges techniques (+1,0%)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ok'!$I$14</c:f>
              <c:numCache>
                <c:formatCode>\+0.0;\-0.0</c:formatCode>
                <c:ptCount val="1"/>
                <c:pt idx="0">
                  <c:v>3.4145337124311205E-2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81-42E3-A243-FFE26BDEE6C8}"/>
            </c:ext>
          </c:extLst>
        </c:ser>
        <c:ser>
          <c:idx val="4"/>
          <c:order val="2"/>
          <c:tx>
            <c:strRef>
              <c:f>'%charges ok'!$H$15</c:f>
              <c:strCache>
                <c:ptCount val="1"/>
                <c:pt idx="0">
                  <c:v>Dotations aux provisions (-4,5%)</c:v>
                </c:pt>
              </c:strCache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0F81-42E3-A243-FFE26BDEE6C8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0F81-42E3-A243-FFE26BDEE6C8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0F81-42E3-A243-FFE26BDEE6C8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0F81-42E3-A243-FFE26BDEE6C8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0F81-42E3-A243-FFE26BDEE6C8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ok'!$I$15</c:f>
              <c:numCache>
                <c:formatCode>\+0.0;\-0.0</c:formatCode>
                <c:ptCount val="1"/>
                <c:pt idx="0">
                  <c:v>-0.3002783344273019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F81-42E3-A243-FFE26BDEE6C8}"/>
            </c:ext>
          </c:extLst>
        </c:ser>
        <c:ser>
          <c:idx val="3"/>
          <c:order val="3"/>
          <c:tx>
            <c:strRef>
              <c:f>'%charges ok'!$H$17</c:f>
              <c:strCache>
                <c:ptCount val="1"/>
                <c:pt idx="0">
                  <c:v>Prestations extra-légales (+82,5%)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0F81-42E3-A243-FFE26BDEE6C8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0F81-42E3-A243-FFE26BDEE6C8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0F81-42E3-A243-FFE26BDEE6C8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0F81-42E3-A243-FFE26BDEE6C8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 ok'!$I$17</c:f>
              <c:numCache>
                <c:formatCode>\+0.0;\-0.0</c:formatCode>
                <c:ptCount val="1"/>
                <c:pt idx="0">
                  <c:v>0.68998007805893957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F-0F81-42E3-A243-FFE26BDEE6C8}"/>
            </c:ext>
          </c:extLst>
        </c:ser>
        <c:ser>
          <c:idx val="2"/>
          <c:order val="4"/>
          <c:tx>
            <c:strRef>
              <c:f>'%charges ok'!$H$19</c:f>
              <c:strCache>
                <c:ptCount val="1"/>
                <c:pt idx="0">
                  <c:v>Charges financières (+91,2%)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0F81-42E3-A243-FFE26BDEE6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 ok'!$I$19</c:f>
              <c:numCache>
                <c:formatCode>\+0.0;\-0.0</c:formatCode>
                <c:ptCount val="1"/>
                <c:pt idx="0">
                  <c:v>2.361091646107405E-2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A-0F81-42E3-A243-FFE26BDEE6C8}"/>
            </c:ext>
          </c:extLst>
        </c:ser>
        <c:ser>
          <c:idx val="6"/>
          <c:order val="5"/>
          <c:tx>
            <c:strRef>
              <c:f>'%charges ok'!$H$16</c:f>
              <c:strCache>
                <c:ptCount val="1"/>
                <c:pt idx="0">
                  <c:v>Gestion (+22,4%)</c:v>
                </c:pt>
              </c:strCache>
              <c:extLst xmlns:c15="http://schemas.microsoft.com/office/drawing/2012/chart"/>
            </c:strRef>
          </c:tx>
          <c:spPr>
            <a:pattFill prst="pct40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 ok'!$I$16</c:f>
              <c:numCache>
                <c:formatCode>\+0.0;\-0.0</c:formatCode>
                <c:ptCount val="1"/>
                <c:pt idx="0">
                  <c:v>0.60676323546957134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B-0F81-42E3-A243-FFE26BDEE6C8}"/>
            </c:ext>
          </c:extLst>
        </c:ser>
        <c:ser>
          <c:idx val="5"/>
          <c:order val="6"/>
          <c:tx>
            <c:strRef>
              <c:f>'%charges ok'!$H$18</c:f>
              <c:strCache>
                <c:ptCount val="1"/>
                <c:pt idx="0">
                  <c:v>Autres charges (-56,1%)</c:v>
                </c:pt>
              </c:strCache>
              <c:extLst xmlns:c15="http://schemas.microsoft.com/office/drawing/2012/chart"/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 ok'!$I$18</c:f>
              <c:numCache>
                <c:formatCode>\+0.0;\-0.0</c:formatCode>
                <c:ptCount val="1"/>
                <c:pt idx="0">
                  <c:v>-0.71048147174358633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C-0F81-42E3-A243-FFE26BDEE6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93336"/>
        <c:axId val="436490984"/>
        <c:extLst/>
      </c:barChart>
      <c:catAx>
        <c:axId val="436493336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90984"/>
        <c:crosses val="autoZero"/>
        <c:auto val="1"/>
        <c:lblAlgn val="ctr"/>
        <c:lblOffset val="100"/>
        <c:noMultiLvlLbl val="0"/>
      </c:catAx>
      <c:valAx>
        <c:axId val="43649098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0120056982406E-2"/>
              <c:y val="0.185237524117432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33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5496099636760068E-2"/>
          <c:y val="0.7643541742712624"/>
          <c:w val="0.96932349424908271"/>
          <c:h val="0.2348170551528741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dépenses selon la branche en 2022</a:t>
            </a:r>
          </a:p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+ 3,2 points)</a:t>
            </a:r>
          </a:p>
        </c:rich>
      </c:tx>
      <c:layout>
        <c:manualLayout>
          <c:xMode val="edge"/>
          <c:yMode val="edge"/>
          <c:x val="0.14531448629162319"/>
          <c:y val="1.61598784573550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ok'!$A$38</c:f>
              <c:strCache>
                <c:ptCount val="1"/>
                <c:pt idx="0">
                  <c:v>MALADIE (avec IJ Amexa)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08-4DB5-B786-139D868C93C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08-4DB5-B786-139D868C93C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DE08-4DB5-B786-139D868C93CC}"/>
              </c:ext>
            </c:extLst>
          </c:dPt>
          <c:dLbls>
            <c:dLbl>
              <c:idx val="0"/>
              <c:layout>
                <c:manualLayout>
                  <c:x val="0"/>
                  <c:y val="-5.3866261524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08-4DB5-B786-139D868C93CC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ok'!$F$38</c:f>
              <c:numCache>
                <c:formatCode>\+0.0;\-0.0</c:formatCode>
                <c:ptCount val="1"/>
                <c:pt idx="0">
                  <c:v>0.64854989744681613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08-4DB5-B786-139D868C93CC}"/>
            </c:ext>
          </c:extLst>
        </c:ser>
        <c:ser>
          <c:idx val="1"/>
          <c:order val="1"/>
          <c:tx>
            <c:strRef>
              <c:f>'%charges ok'!$A$39</c:f>
              <c:strCache>
                <c:ptCount val="1"/>
                <c:pt idx="0">
                  <c:v>Atexa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ok'!$F$39</c:f>
              <c:numCache>
                <c:formatCode>\+0.0;\-0.0</c:formatCode>
                <c:ptCount val="1"/>
                <c:pt idx="0">
                  <c:v>2.7533497008987266E-2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E08-4DB5-B786-139D868C93CC}"/>
            </c:ext>
          </c:extLst>
        </c:ser>
        <c:ser>
          <c:idx val="4"/>
          <c:order val="2"/>
          <c:tx>
            <c:strRef>
              <c:f>'%charges ok'!$A$40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DE08-4DB5-B786-139D868C93CC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DE08-4DB5-B786-139D868C93CC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DE08-4DB5-B786-139D868C93CC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DE08-4DB5-B786-139D868C93CC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DE08-4DB5-B786-139D868C93CC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ok'!$F$40</c:f>
              <c:numCache>
                <c:formatCode>\+0.0;\-0.0</c:formatCode>
                <c:ptCount val="1"/>
                <c:pt idx="0">
                  <c:v>0.67921980910599677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E08-4DB5-B786-139D868C93CC}"/>
            </c:ext>
          </c:extLst>
        </c:ser>
        <c:ser>
          <c:idx val="3"/>
          <c:order val="3"/>
          <c:tx>
            <c:strRef>
              <c:f>'%charges ok'!$A$41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DE08-4DB5-B786-139D868C93CC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DE08-4DB5-B786-139D868C93CC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DE08-4DB5-B786-139D868C93CC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DE08-4DB5-B786-139D868C93CC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 ok'!$F$41</c:f>
              <c:numCache>
                <c:formatCode>\+0.0;\-0.0</c:formatCode>
                <c:ptCount val="1"/>
                <c:pt idx="0">
                  <c:v>0.28810848558455365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E08-4DB5-B786-139D868C93CC}"/>
            </c:ext>
          </c:extLst>
        </c:ser>
        <c:ser>
          <c:idx val="2"/>
          <c:order val="4"/>
          <c:tx>
            <c:strRef>
              <c:f>'%charges ok'!$A$42</c:f>
              <c:strCache>
                <c:ptCount val="1"/>
                <c:pt idx="0">
                  <c:v>RCO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 ok'!$F$42</c:f>
              <c:numCache>
                <c:formatCode>\+0.0;\-0.0</c:formatCode>
                <c:ptCount val="1"/>
                <c:pt idx="0">
                  <c:v>1.5834306097201076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DE08-4DB5-B786-139D868C93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92160"/>
        <c:axId val="436491376"/>
        <c:extLst/>
      </c:barChart>
      <c:catAx>
        <c:axId val="43649216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91376"/>
        <c:crosses val="autoZero"/>
        <c:auto val="1"/>
        <c:lblAlgn val="ctr"/>
        <c:lblOffset val="100"/>
        <c:noMultiLvlLbl val="0"/>
      </c:catAx>
      <c:valAx>
        <c:axId val="436491376"/>
        <c:scaling>
          <c:orientation val="minMax"/>
          <c:max val="3"/>
          <c:min val="-1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60828721975E-2"/>
              <c:y val="0.205265777909196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2160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54522961699847E-2"/>
          <c:y val="0.16480169568528216"/>
          <c:w val="0.82829095407660025"/>
          <c:h val="0.799978841525171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88-446D-8D48-9BA362ED4EF5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88-446D-8D48-9BA362ED4EF5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88-446D-8D48-9BA362ED4EF5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88-446D-8D48-9BA362ED4EF5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88-446D-8D48-9BA362ED4EF5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8-446D-8D48-9BA362ED4EF5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88-446D-8D48-9BA362ED4EF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88-446D-8D48-9BA362ED4EF5}"/>
              </c:ext>
            </c:extLst>
          </c:dPt>
          <c:dLbls>
            <c:dLbl>
              <c:idx val="0"/>
              <c:layout>
                <c:manualLayout>
                  <c:x val="-5.8544059381112394E-2"/>
                  <c:y val="0.265502122978335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bg1"/>
                        </a:solidFill>
                      </a:rPr>
                      <a:t>Impôts et taxes affectés
28,9%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588-446D-8D48-9BA362ED4EF5}"/>
                </c:ext>
              </c:extLst>
            </c:dLbl>
            <c:dLbl>
              <c:idx val="1"/>
              <c:layout>
                <c:manualLayout>
                  <c:x val="-0.19880686092582375"/>
                  <c:y val="-0.110985257495606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88-446D-8D48-9BA362ED4EF5}"/>
                </c:ext>
              </c:extLst>
            </c:dLbl>
            <c:dLbl>
              <c:idx val="2"/>
              <c:layout>
                <c:manualLayout>
                  <c:x val="4.6152097229884406E-2"/>
                  <c:y val="-9.3302854199714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88-446D-8D48-9BA362ED4EF5}"/>
                </c:ext>
              </c:extLst>
            </c:dLbl>
            <c:dLbl>
              <c:idx val="3"/>
              <c:layout>
                <c:manualLayout>
                  <c:x val="0.14743601317351254"/>
                  <c:y val="-9.72552216932214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88-446D-8D48-9BA362ED4EF5}"/>
                </c:ext>
              </c:extLst>
            </c:dLbl>
            <c:dLbl>
              <c:idx val="4"/>
              <c:layout>
                <c:manualLayout>
                  <c:x val="0.22167820184897269"/>
                  <c:y val="0.118246313572475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Autres produits**
9,6%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07356380367104"/>
                      <c:h val="0.1716608528837280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9588-446D-8D48-9BA362ED4EF5}"/>
                </c:ext>
              </c:extLst>
            </c:dLbl>
            <c:dLbl>
              <c:idx val="5"/>
              <c:layout>
                <c:manualLayout>
                  <c:x val="-5.6326629553471425E-2"/>
                  <c:y val="0.110183029744136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88-446D-8D48-9BA362ED4EF5}"/>
                </c:ext>
              </c:extLst>
            </c:dLbl>
            <c:dLbl>
              <c:idx val="6"/>
              <c:layout>
                <c:manualLayout>
                  <c:x val="-0.1116348195329087"/>
                  <c:y val="-2.6581441210303352E-2"/>
                </c:manualLayout>
              </c:layout>
              <c:tx>
                <c:rich>
                  <a:bodyPr/>
                  <a:lstStyle/>
                  <a:p>
                    <a:fld id="{EAB486B6-7F99-42BD-ADFE-E3D414DB7B1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2,6%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588-446D-8D48-9BA362ED4EF5}"/>
                </c:ext>
              </c:extLst>
            </c:dLbl>
            <c:dLbl>
              <c:idx val="7"/>
              <c:layout>
                <c:manualLayout>
                  <c:x val="0.11850259959543273"/>
                  <c:y val="-6.4649993081019388E-2"/>
                </c:manualLayout>
              </c:layout>
              <c:tx>
                <c:rich>
                  <a:bodyPr/>
                  <a:lstStyle/>
                  <a:p>
                    <a:fld id="{180B045B-1C0F-4F14-ACC1-C5D4C84B9EC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0,3%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588-446D-8D48-9BA362ED4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 ok'!$A$2:$A$9</c:f>
              <c:strCache>
                <c:ptCount val="8"/>
                <c:pt idx="0">
                  <c:v>ITAF</c:v>
                </c:pt>
                <c:pt idx="1">
                  <c:v>Contributions du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 ok'!$D$2:$D$9</c:f>
              <c:numCache>
                <c:formatCode>0.0%</c:formatCode>
                <c:ptCount val="8"/>
                <c:pt idx="0">
                  <c:v>0.28904139709780541</c:v>
                </c:pt>
                <c:pt idx="1">
                  <c:v>0.2760503577359863</c:v>
                </c:pt>
                <c:pt idx="2">
                  <c:v>0.15697824558747756</c:v>
                </c:pt>
                <c:pt idx="3">
                  <c:v>0.15120201454231844</c:v>
                </c:pt>
                <c:pt idx="4">
                  <c:v>9.6193253299379874E-2</c:v>
                </c:pt>
                <c:pt idx="5">
                  <c:v>2.4441761853914901E-3</c:v>
                </c:pt>
                <c:pt idx="6">
                  <c:v>2.6037789513950031E-2</c:v>
                </c:pt>
                <c:pt idx="7">
                  <c:v>2.0527660376909651E-3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588-446D-8D48-9BA362ED4E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1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 ok'!$B$37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'%produits ok'!$A$41:$A$46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RECETTES</c:v>
                </c:pt>
              </c:strCache>
            </c:strRef>
          </c:cat>
          <c:val>
            <c:numRef>
              <c:f>'%produitsRetraite ok'!$B$37:$B$42</c:f>
              <c:numCache>
                <c:formatCode>#\ ##0.0</c:formatCode>
                <c:ptCount val="6"/>
                <c:pt idx="0">
                  <c:v>7204.82320239</c:v>
                </c:pt>
                <c:pt idx="1">
                  <c:v>456.17965657000002</c:v>
                </c:pt>
                <c:pt idx="2">
                  <c:v>550.84491793999996</c:v>
                </c:pt>
                <c:pt idx="3">
                  <c:v>7560.6477771599994</c:v>
                </c:pt>
                <c:pt idx="4">
                  <c:v>906.74481027999991</c:v>
                </c:pt>
                <c:pt idx="5">
                  <c:v>16679.240364339999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5-43CE-B812-43BC1AAEF52F}"/>
            </c:ext>
          </c:extLst>
        </c:ser>
        <c:ser>
          <c:idx val="1"/>
          <c:order val="1"/>
          <c:tx>
            <c:strRef>
              <c:f>'%charges ok'!$C$37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5-43CE-B812-43BC1AAEF52F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5-43CE-B812-43BC1AAEF52F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5-43CE-B812-43BC1AAEF52F}"/>
                </c:ext>
              </c:extLst>
            </c:dLbl>
            <c:dLbl>
              <c:idx val="3"/>
              <c:layout>
                <c:manualLayout>
                  <c:x val="3.4793618067418375E-2"/>
                  <c:y val="-4.590916780776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5-43CE-B812-43BC1AAEF52F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5-43CE-B812-43BC1AAEF52F}"/>
                </c:ext>
              </c:extLst>
            </c:dLbl>
            <c:dLbl>
              <c:idx val="5"/>
              <c:layout>
                <c:manualLayout>
                  <c:x val="2.5000000000000001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5-43CE-B812-43BC1AAEF52F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'%produits ok'!$A$41:$A$46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RECETTES</c:v>
                </c:pt>
              </c:strCache>
            </c:strRef>
          </c:cat>
          <c:val>
            <c:numRef>
              <c:f>'%produits ok'!$C$41:$C$46</c:f>
              <c:numCache>
                <c:formatCode>#\ ##0.0</c:formatCode>
                <c:ptCount val="6"/>
                <c:pt idx="0">
                  <c:v>7293.3621882399993</c:v>
                </c:pt>
                <c:pt idx="1">
                  <c:v>437.72692805999998</c:v>
                </c:pt>
                <c:pt idx="2">
                  <c:v>660.46352081999999</c:v>
                </c:pt>
                <c:pt idx="3">
                  <c:v>7204.5720267200004</c:v>
                </c:pt>
                <c:pt idx="4">
                  <c:v>1246.9734998900001</c:v>
                </c:pt>
                <c:pt idx="5">
                  <c:v>16843.098163729999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35-43CE-B812-43BC1AAE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87848"/>
        <c:axId val="436491768"/>
      </c:barChart>
      <c:catAx>
        <c:axId val="436487848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1768"/>
        <c:crosses val="autoZero"/>
        <c:auto val="1"/>
        <c:lblAlgn val="ctr"/>
        <c:lblOffset val="100"/>
        <c:noMultiLvlLbl val="0"/>
      </c:catAx>
      <c:valAx>
        <c:axId val="4364917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87848"/>
        <c:crosses val="autoZero"/>
        <c:crossBetween val="between"/>
        <c:majorUnit val="2000"/>
      </c:valAx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recettes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 +</a:t>
            </a:r>
            <a:r>
              <a:rPr lang="fr-FR" sz="1100" b="0" baseline="0">
                <a:solidFill>
                  <a:schemeClr val="accent1">
                    <a:lumMod val="50000"/>
                  </a:schemeClr>
                </a:solidFill>
              </a:rPr>
              <a:t> 1,0</a:t>
            </a: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 point)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01138411915379"/>
          <c:y val="0.22009754458917644"/>
          <c:w val="0.83053747799597344"/>
          <c:h val="0.473324960734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'%produits ok'!$H$15</c:f>
              <c:strCache>
                <c:ptCount val="1"/>
                <c:pt idx="0">
                  <c:v>Itaf (+2,5%)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B3-40D6-AB5D-6EFC81D69F3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B3-40D6-AB5D-6EFC81D69F3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DB3-40D6-AB5D-6EFC81D69F3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DB3-40D6-AB5D-6EFC81D69F3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DB3-40D6-AB5D-6EFC81D69F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DB3-40D6-AB5D-6EFC81D69F3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DB3-40D6-AB5D-6EFC81D69F31}"/>
              </c:ext>
            </c:extLst>
          </c:dPt>
          <c:dLbls>
            <c:dLbl>
              <c:idx val="0"/>
              <c:layout>
                <c:manualLayout>
                  <c:x val="-2.6773761713520749E-3"/>
                  <c:y val="-1.6159878457355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3-40D6-AB5D-6EFC81D69F31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ok'!$I$15</c:f>
              <c:numCache>
                <c:formatCode>\+0.0;\-0.0</c:formatCode>
                <c:ptCount val="1"/>
                <c:pt idx="0">
                  <c:v>0.71142380790730786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0DB3-40D6-AB5D-6EFC81D69F31}"/>
            </c:ext>
          </c:extLst>
        </c:ser>
        <c:ser>
          <c:idx val="1"/>
          <c:order val="1"/>
          <c:tx>
            <c:strRef>
              <c:f>'%produits ok'!$H$16</c:f>
              <c:strCache>
                <c:ptCount val="1"/>
                <c:pt idx="0">
                  <c:v>Contributions du Régime général (+3,2%)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DB3-40D6-AB5D-6EFC81D69F3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DB3-40D6-AB5D-6EFC81D69F3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DB3-40D6-AB5D-6EFC81D69F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DB3-40D6-AB5D-6EFC81D69F3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DB3-40D6-AB5D-6EFC81D69F31}"/>
              </c:ext>
            </c:extLst>
          </c:dPt>
          <c:dLbls>
            <c:dLbl>
              <c:idx val="0"/>
              <c:layout>
                <c:manualLayout>
                  <c:x val="2.6773761713520749E-3"/>
                  <c:y val="0.12927902765884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B3-40D6-AB5D-6EFC81D69F31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 ok'!$I$16</c:f>
              <c:numCache>
                <c:formatCode>\+0.0;\-0.0</c:formatCode>
                <c:ptCount val="1"/>
                <c:pt idx="0">
                  <c:v>0.86243726937076037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DB3-40D6-AB5D-6EFC81D69F31}"/>
            </c:ext>
          </c:extLst>
        </c:ser>
        <c:ser>
          <c:idx val="2"/>
          <c:order val="2"/>
          <c:tx>
            <c:strRef>
              <c:f>'%produits ok'!$H$19</c:f>
              <c:strCache>
                <c:ptCount val="1"/>
                <c:pt idx="0">
                  <c:v>Autres produits (-4,5%)</c:v>
                </c:pt>
              </c:strCache>
              <c:extLst xmlns:c15="http://schemas.microsoft.com/office/drawing/2012/chart"/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0DB3-40D6-AB5D-6EFC81D69F31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C-0DB3-40D6-AB5D-6EFC81D69F31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E-0DB3-40D6-AB5D-6EFC81D69F31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0-0DB3-40D6-AB5D-6EFC81D69F31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2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ok'!$I$19</c:f>
              <c:numCache>
                <c:formatCode>\+0.0;\-0.0</c:formatCode>
                <c:ptCount val="1"/>
                <c:pt idx="0">
                  <c:v>-0.45849404828709406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3-0DB3-40D6-AB5D-6EFC81D69F31}"/>
            </c:ext>
          </c:extLst>
        </c:ser>
        <c:ser>
          <c:idx val="4"/>
          <c:order val="3"/>
          <c:tx>
            <c:strRef>
              <c:f>'%produits ok'!$H$17</c:f>
              <c:strCache>
                <c:ptCount val="1"/>
                <c:pt idx="0">
                  <c:v>Compensation démographique (-1,0%)</c:v>
                </c:pt>
              </c:strCache>
              <c:extLst xmlns:c15="http://schemas.microsoft.com/office/drawing/2012/chart"/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5-0DB3-40D6-AB5D-6EFC81D69F31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7-0DB3-40D6-AB5D-6EFC81D69F31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9-0DB3-40D6-AB5D-6EFC81D69F31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B-0DB3-40D6-AB5D-6EFC81D69F31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D-0DB3-40D6-AB5D-6EFC81D69F31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F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ok'!$I$17</c:f>
              <c:numCache>
                <c:formatCode>\+0.0;\-0.0</c:formatCode>
                <c:ptCount val="1"/>
                <c:pt idx="0">
                  <c:v>-0.16787335267296491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0-0DB3-40D6-AB5D-6EFC81D69F31}"/>
            </c:ext>
          </c:extLst>
        </c:ser>
        <c:ser>
          <c:idx val="3"/>
          <c:order val="4"/>
          <c:tx>
            <c:strRef>
              <c:f>'%produits ok'!$H$18</c:f>
              <c:strCache>
                <c:ptCount val="1"/>
                <c:pt idx="0">
                  <c:v>Cotisations sociales (+2,1%)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2-0DB3-40D6-AB5D-6EFC81D69F31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4-0DB3-40D6-AB5D-6EFC81D69F31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6-0DB3-40D6-AB5D-6EFC81D69F31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8-0DB3-40D6-AB5D-6EFC81D69F31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A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ok'!$I$18</c:f>
              <c:numCache>
                <c:formatCode>\+0.0;\-0.0</c:formatCode>
                <c:ptCount val="1"/>
                <c:pt idx="0">
                  <c:v>0.32106596793516046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B-0DB3-40D6-AB5D-6EFC81D69F31}"/>
            </c:ext>
          </c:extLst>
        </c:ser>
        <c:ser>
          <c:idx val="6"/>
          <c:order val="5"/>
          <c:tx>
            <c:strRef>
              <c:f>'%produits ok'!$H$20</c:f>
              <c:strCache>
                <c:ptCount val="1"/>
                <c:pt idx="0">
                  <c:v>Prise en charge de prestations (-15,6%)</c:v>
                </c:pt>
              </c:strCache>
              <c:extLst xmlns:c15="http://schemas.microsoft.com/office/drawing/2012/chart"/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 ok'!$I$12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 ok'!$I$20</c:f>
              <c:numCache>
                <c:formatCode>\+0.0;\-0.0</c:formatCode>
                <c:ptCount val="1"/>
                <c:pt idx="0">
                  <c:v>-4.5585139873969754E-2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C-0DB3-40D6-AB5D-6EFC81D69F31}"/>
            </c:ext>
          </c:extLst>
        </c:ser>
        <c:ser>
          <c:idx val="5"/>
          <c:order val="6"/>
          <c:tx>
            <c:strRef>
              <c:f>'%produits ok'!$H$21</c:f>
              <c:strCache>
                <c:ptCount val="1"/>
                <c:pt idx="0">
                  <c:v>Contribution Sociale Généralisée (+3,5%)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 ok'!$I$21</c:f>
              <c:numCache>
                <c:formatCode>\+0.0;\-0.0</c:formatCode>
                <c:ptCount val="1"/>
                <c:pt idx="0">
                  <c:v>8.8526627516973752E-2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0DB3-40D6-AB5D-6EFC81D69F31}"/>
            </c:ext>
          </c:extLst>
        </c:ser>
        <c:ser>
          <c:idx val="7"/>
          <c:order val="7"/>
          <c:tx>
            <c:strRef>
              <c:f>'%produits ok'!$H$22</c:f>
              <c:strCache>
                <c:ptCount val="1"/>
                <c:pt idx="0">
                  <c:v>Cotisations prises en charge par l'Etat (-59,3%)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 ok'!$I$22</c:f>
              <c:numCache>
                <c:formatCode>0.0_ ;\-0.0\ </c:formatCode>
                <c:ptCount val="1"/>
                <c:pt idx="0">
                  <c:v>-0.32909548385282261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E-0DB3-40D6-AB5D-6EFC81D69F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89808"/>
        <c:axId val="436485888"/>
        <c:extLst/>
      </c:barChart>
      <c:catAx>
        <c:axId val="43648980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85888"/>
        <c:crossesAt val="0"/>
        <c:auto val="1"/>
        <c:lblAlgn val="ctr"/>
        <c:lblOffset val="100"/>
        <c:noMultiLvlLbl val="0"/>
      </c:catAx>
      <c:valAx>
        <c:axId val="436485888"/>
        <c:scaling>
          <c:orientation val="minMax"/>
          <c:max val="5"/>
          <c:min val="-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8344453931210408E-2"/>
              <c:y val="8.65146622377781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8980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8.0321285140562242E-3"/>
          <c:y val="0.77332873017845249"/>
          <c:w val="0.99196787148594379"/>
          <c:h val="0.22667126982154751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145473</xdr:colOff>
      <xdr:row>2</xdr:row>
      <xdr:rowOff>105640</xdr:rowOff>
    </xdr:from>
    <xdr:to>
      <xdr:col>18</xdr:col>
      <xdr:colOff>145473</xdr:colOff>
      <xdr:row>19</xdr:row>
      <xdr:rowOff>75334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24054</xdr:colOff>
      <xdr:row>23</xdr:row>
      <xdr:rowOff>47626</xdr:rowOff>
    </xdr:from>
    <xdr:to>
      <xdr:col>14</xdr:col>
      <xdr:colOff>404379</xdr:colOff>
      <xdr:row>40</xdr:row>
      <xdr:rowOff>62804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154782</xdr:rowOff>
    </xdr:from>
    <xdr:to>
      <xdr:col>5</xdr:col>
      <xdr:colOff>590551</xdr:colOff>
      <xdr:row>34</xdr:row>
      <xdr:rowOff>9526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611982</xdr:colOff>
      <xdr:row>25</xdr:row>
      <xdr:rowOff>19049</xdr:rowOff>
    </xdr:from>
    <xdr:to>
      <xdr:col>13</xdr:col>
      <xdr:colOff>438150</xdr:colOff>
      <xdr:row>41</xdr:row>
      <xdr:rowOff>7142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5</xdr:row>
      <xdr:rowOff>152400</xdr:rowOff>
    </xdr:from>
    <xdr:to>
      <xdr:col>16</xdr:col>
      <xdr:colOff>752475</xdr:colOff>
      <xdr:row>23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740567</xdr:colOff>
      <xdr:row>5</xdr:row>
      <xdr:rowOff>114299</xdr:rowOff>
    </xdr:from>
    <xdr:to>
      <xdr:col>23</xdr:col>
      <xdr:colOff>345280</xdr:colOff>
      <xdr:row>21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13</xdr:row>
      <xdr:rowOff>57150</xdr:rowOff>
    </xdr:from>
    <xdr:to>
      <xdr:col>6</xdr:col>
      <xdr:colOff>485775</xdr:colOff>
      <xdr:row>36</xdr:row>
      <xdr:rowOff>76201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951139</xdr:colOff>
      <xdr:row>27</xdr:row>
      <xdr:rowOff>149678</xdr:rowOff>
    </xdr:from>
    <xdr:to>
      <xdr:col>14</xdr:col>
      <xdr:colOff>617764</xdr:colOff>
      <xdr:row>44</xdr:row>
      <xdr:rowOff>140153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266700</xdr:colOff>
      <xdr:row>8</xdr:row>
      <xdr:rowOff>76200</xdr:rowOff>
    </xdr:from>
    <xdr:to>
      <xdr:col>16</xdr:col>
      <xdr:colOff>390525</xdr:colOff>
      <xdr:row>23</xdr:row>
      <xdr:rowOff>5016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47</xdr:row>
      <xdr:rowOff>19050</xdr:rowOff>
    </xdr:from>
    <xdr:to>
      <xdr:col>3</xdr:col>
      <xdr:colOff>561975</xdr:colOff>
      <xdr:row>61</xdr:row>
      <xdr:rowOff>109791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23812</xdr:rowOff>
    </xdr:from>
    <xdr:to>
      <xdr:col>7</xdr:col>
      <xdr:colOff>495300</xdr:colOff>
      <xdr:row>33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495299</xdr:colOff>
      <xdr:row>11</xdr:row>
      <xdr:rowOff>38101</xdr:rowOff>
    </xdr:from>
    <xdr:to>
      <xdr:col>15</xdr:col>
      <xdr:colOff>342900</xdr:colOff>
      <xdr:row>26</xdr:row>
      <xdr:rowOff>85726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85724</xdr:rowOff>
    </xdr:from>
    <xdr:to>
      <xdr:col>7</xdr:col>
      <xdr:colOff>85725</xdr:colOff>
      <xdr:row>31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31</xdr:row>
      <xdr:rowOff>85725</xdr:rowOff>
    </xdr:from>
    <xdr:to>
      <xdr:col>13</xdr:col>
      <xdr:colOff>247650</xdr:colOff>
      <xdr:row>47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23/3-%20ChiffresUtiles_Edition2023_PartieFinancementR&#233;alisations_SASPA_OK_revIJAME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21/3-%20ChiffresUtiles_Edition2021_PartieFinancementR&#233;alisations_%20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22/3-%20ChiffresUtiles_Edition2022_PartieFinancementR&#233;alisations_2022_04_05_SAS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3-2027\TCDC_PREVISIONS_2023-2027_NS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18/3-%20ChiffresUtiles_Edition2019_PartieFinancementR&#233;alisat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2/4%20-%20EFFECTIFS/TCDC_REALISATIONS_EFFECTIFS_2022_NS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2/3%20-%20MAQUETTES/2%20-%20Maquettes%20compl&#233;t&#233;es/NSA/Maquette_R&#233;alisations2022_COTISATIONS%20N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Jean Baptiste FLOCH"/>
      <sheetName val="COMPTES SA OK"/>
      <sheetName val="COMPTES NSA OK"/>
      <sheetName val="COMPTES NSA+SA_Prestations OK"/>
      <sheetName val="COMPTES NSA+SA_Cotisations OK"/>
      <sheetName val="assiette RP OK"/>
      <sheetName val="masse salariale +graph9 OK"/>
      <sheetName val="CSG CRDS OK"/>
      <sheetName val="Graph0 OK"/>
      <sheetName val="DonnéesGraph1 OK"/>
      <sheetName val="DonnéesGraph2 OK"/>
      <sheetName val="DonnéesGraph3 OK"/>
      <sheetName val="DonnéesGraph4 OK"/>
      <sheetName val="DonnéesGraph5 OK"/>
      <sheetName val="DonnéesGraph6 OK"/>
      <sheetName val="DonnéesGraph7&amp;8 OK"/>
    </sheetNames>
    <sheetDataSet>
      <sheetData sheetId="0"/>
      <sheetData sheetId="1"/>
      <sheetData sheetId="2">
        <row r="6">
          <cell r="S6">
            <v>451.07542656999999</v>
          </cell>
          <cell r="T6">
            <v>451.21651058999998</v>
          </cell>
          <cell r="U6">
            <v>467.49386817000004</v>
          </cell>
          <cell r="V6">
            <v>457.67057166999996</v>
          </cell>
        </row>
        <row r="7">
          <cell r="C7">
            <v>6450.6047600500015</v>
          </cell>
          <cell r="D7">
            <v>6776.9118236400009</v>
          </cell>
          <cell r="E7">
            <v>5963.9411127700005</v>
          </cell>
          <cell r="F7">
            <v>6083.4483174000006</v>
          </cell>
          <cell r="S7">
            <v>72.991787430000002</v>
          </cell>
          <cell r="T7">
            <v>71.808375310000002</v>
          </cell>
          <cell r="U7">
            <v>68.482383510000005</v>
          </cell>
          <cell r="V7">
            <v>68.314265239999997</v>
          </cell>
        </row>
        <row r="8">
          <cell r="C8">
            <v>66.201634909999996</v>
          </cell>
          <cell r="D8">
            <v>75.214825270000006</v>
          </cell>
          <cell r="E8">
            <v>65.530601610000005</v>
          </cell>
          <cell r="F8">
            <v>69.946866200000002</v>
          </cell>
        </row>
        <row r="14">
          <cell r="S14">
            <v>9.54966984</v>
          </cell>
          <cell r="T14">
            <v>19.191996899999999</v>
          </cell>
          <cell r="U14">
            <v>30.011628459999997</v>
          </cell>
          <cell r="V14">
            <v>15.44999267</v>
          </cell>
        </row>
        <row r="15">
          <cell r="C15">
            <v>1234.13989627</v>
          </cell>
          <cell r="D15">
            <v>1657.8487962000002</v>
          </cell>
          <cell r="E15">
            <v>477.99347564000004</v>
          </cell>
          <cell r="F15">
            <v>484.39312775999997</v>
          </cell>
          <cell r="S15">
            <v>0</v>
          </cell>
          <cell r="T15">
            <v>1.2940811400000001</v>
          </cell>
          <cell r="U15">
            <v>4.6865541799999999</v>
          </cell>
          <cell r="V15">
            <v>1.5952792600000001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22">
          <cell r="S22">
            <v>576.43750490000002</v>
          </cell>
          <cell r="T22">
            <v>583.74474866000003</v>
          </cell>
          <cell r="U22">
            <v>423.79147576000003</v>
          </cell>
          <cell r="V22">
            <v>438.55704474999999</v>
          </cell>
        </row>
        <row r="23">
          <cell r="C23">
            <v>20.986310839999998</v>
          </cell>
          <cell r="D23">
            <v>19.567514899999999</v>
          </cell>
          <cell r="E23">
            <v>17.187079529999998</v>
          </cell>
          <cell r="F23">
            <v>17.214153500000002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C24">
            <v>0.65222548000000002</v>
          </cell>
          <cell r="D24">
            <v>0.5854617299999999</v>
          </cell>
          <cell r="E24">
            <v>0.53185790999999993</v>
          </cell>
          <cell r="F24">
            <v>0.57693373999999997</v>
          </cell>
        </row>
        <row r="30">
          <cell r="S30">
            <v>1591.1726230099998</v>
          </cell>
          <cell r="T30">
            <v>1421.47587593</v>
          </cell>
          <cell r="U30">
            <v>1522.8341223000002</v>
          </cell>
          <cell r="V30">
            <v>1558.7126166600001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C33">
            <v>0.31147126000000003</v>
          </cell>
          <cell r="D33">
            <v>0.1911079</v>
          </cell>
          <cell r="E33">
            <v>0.20899081</v>
          </cell>
          <cell r="F33">
            <v>0.22656298999999999</v>
          </cell>
        </row>
        <row r="34">
          <cell r="C34">
            <v>0.12363768</v>
          </cell>
          <cell r="D34">
            <v>0.27227548000000001</v>
          </cell>
          <cell r="E34">
            <v>0.20124025999999998</v>
          </cell>
          <cell r="F34">
            <v>0.38266608000000002</v>
          </cell>
        </row>
        <row r="41">
          <cell r="C41">
            <v>0.9141582800000001</v>
          </cell>
          <cell r="D41">
            <v>1.02463908</v>
          </cell>
          <cell r="E41">
            <v>0.61197191000000006</v>
          </cell>
          <cell r="F41">
            <v>0</v>
          </cell>
        </row>
        <row r="42">
          <cell r="C42">
            <v>10.348353319999999</v>
          </cell>
          <cell r="D42">
            <v>9.8908672699999993</v>
          </cell>
          <cell r="E42">
            <v>10.45082487</v>
          </cell>
          <cell r="F42">
            <v>9.9508104500000005</v>
          </cell>
        </row>
        <row r="46">
          <cell r="S46">
            <v>1050.6742744599999</v>
          </cell>
          <cell r="T46">
            <v>1255.61579622</v>
          </cell>
          <cell r="U46">
            <v>4.8058407399999998</v>
          </cell>
          <cell r="V46">
            <v>9.7040036199999999</v>
          </cell>
        </row>
        <row r="47"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9">
          <cell r="C49">
            <v>398.22603425999995</v>
          </cell>
          <cell r="D49">
            <v>485.00673768000001</v>
          </cell>
          <cell r="E49">
            <v>453.02390021999997</v>
          </cell>
          <cell r="F49">
            <v>428.84193866000004</v>
          </cell>
        </row>
        <row r="50">
          <cell r="C50">
            <v>14.155940999999999</v>
          </cell>
          <cell r="D50">
            <v>27.190463999999999</v>
          </cell>
          <cell r="E50">
            <v>18.745853</v>
          </cell>
          <cell r="F50">
            <v>19.205607539999999</v>
          </cell>
        </row>
        <row r="54">
          <cell r="S54">
            <v>0.63543857000000004</v>
          </cell>
          <cell r="T54">
            <v>0.30894443999999999</v>
          </cell>
          <cell r="U54">
            <v>0.38815246000000003</v>
          </cell>
          <cell r="V54">
            <v>1.0998239300000001</v>
          </cell>
        </row>
        <row r="55">
          <cell r="S55">
            <v>1.4483713300000001</v>
          </cell>
          <cell r="T55">
            <v>0.12235303</v>
          </cell>
          <cell r="U55">
            <v>0.27997663</v>
          </cell>
          <cell r="V55">
            <v>0.30687808</v>
          </cell>
        </row>
        <row r="57">
          <cell r="C57">
            <v>214.54011567000001</v>
          </cell>
          <cell r="D57">
            <v>194.84174231999998</v>
          </cell>
          <cell r="E57">
            <v>190.59327306</v>
          </cell>
          <cell r="F57">
            <v>189.49664781999999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2">
          <cell r="S62">
            <v>22.817051370000001</v>
          </cell>
          <cell r="T62">
            <v>31.014760259999999</v>
          </cell>
          <cell r="U62">
            <v>21.279295989999998</v>
          </cell>
          <cell r="V62">
            <v>26.528805170000002</v>
          </cell>
        </row>
        <row r="63">
          <cell r="S63">
            <v>0.59963600000000006</v>
          </cell>
          <cell r="T63">
            <v>0.34529828000000001</v>
          </cell>
          <cell r="U63">
            <v>0.66028694999999993</v>
          </cell>
          <cell r="V63">
            <v>0.77838198000000003</v>
          </cell>
        </row>
        <row r="70">
          <cell r="S70">
            <v>3.0912917900000001</v>
          </cell>
          <cell r="T70">
            <v>1.8711732799999998</v>
          </cell>
          <cell r="U70">
            <v>1.16635205</v>
          </cell>
          <cell r="V70">
            <v>0</v>
          </cell>
        </row>
        <row r="71">
          <cell r="S71">
            <v>8.5999159999999991E-2</v>
          </cell>
          <cell r="T71">
            <v>4.6778260000000002E-2</v>
          </cell>
          <cell r="U71">
            <v>3.5270170000000003E-2</v>
          </cell>
          <cell r="V71">
            <v>0</v>
          </cell>
        </row>
        <row r="78">
          <cell r="S78">
            <v>401.33653938999993</v>
          </cell>
          <cell r="T78">
            <v>396.95243077999993</v>
          </cell>
          <cell r="U78">
            <v>491.61148224000004</v>
          </cell>
          <cell r="V78">
            <v>464.45361159999999</v>
          </cell>
        </row>
        <row r="79">
          <cell r="S79">
            <v>8.2339081800000002</v>
          </cell>
          <cell r="T79">
            <v>13.861971</v>
          </cell>
          <cell r="U79">
            <v>27.11892701</v>
          </cell>
          <cell r="V79">
            <v>18.746635550000001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lvie"/>
      <sheetName val="COMPTES SA ok"/>
      <sheetName val="COMPTES NSA ok"/>
      <sheetName val="COMPTES NSA+SA_Prestations ok"/>
      <sheetName val="COMPTES NSA+SA_Cotisations ok"/>
      <sheetName val="assiette RP ok"/>
      <sheetName val="masse salariale 2019+graph9 ok"/>
      <sheetName val="CSG CRDS ok"/>
      <sheetName val="Graph0 ok"/>
      <sheetName val="DonnéesGraph1 ok"/>
      <sheetName val="DonnéesGraph2 ok"/>
      <sheetName val="DonnéesGraph3 ok"/>
      <sheetName val="DonnéesGraph4 ok"/>
      <sheetName val="DonnéesGraph5 ok"/>
      <sheetName val="DonnéesGraph6 ok"/>
      <sheetName val="DonnéesGraph7&amp;8 ok"/>
    </sheetNames>
    <sheetDataSet>
      <sheetData sheetId="0"/>
      <sheetData sheetId="1">
        <row r="50">
          <cell r="D50">
            <v>14784.025856220003</v>
          </cell>
        </row>
      </sheetData>
      <sheetData sheetId="2">
        <row r="6">
          <cell r="O6">
            <v>268.76247095999997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Jean Baptiste FLOCH"/>
      <sheetName val="COMPTES SA OK"/>
      <sheetName val="COMPTES NSA OK"/>
      <sheetName val="COMPTES NSA+SA_Prestations OK"/>
      <sheetName val="COMPTES NSA+SA_Cotisations OK"/>
      <sheetName val="assiette RP OK"/>
      <sheetName val="masse salariale +graph9 OK"/>
      <sheetName val="CSG CRDS OK"/>
      <sheetName val="Graph0 OK"/>
      <sheetName val="DonnéesGraph1 OK"/>
      <sheetName val="DonnéesGraph2 OK"/>
      <sheetName val="DonnéesGraph3 OK"/>
      <sheetName val="DonnéesGraph4 OK"/>
      <sheetName val="DonnéesGraph5 OK"/>
      <sheetName val="DonnéesGraph6 OK"/>
      <sheetName val="DonnéesGraph7&amp;8 OK"/>
    </sheetNames>
    <sheetDataSet>
      <sheetData sheetId="0"/>
      <sheetData sheetId="1"/>
      <sheetData sheetId="2">
        <row r="64">
          <cell r="E64">
            <v>18440.735458249997</v>
          </cell>
          <cell r="F64">
            <v>16138.072176410004</v>
          </cell>
        </row>
        <row r="85">
          <cell r="U85">
            <v>18438.319619509999</v>
          </cell>
          <cell r="V85">
            <v>16681.83558608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die"/>
      <sheetName val="AT"/>
      <sheetName val="Famille"/>
      <sheetName val="Vieillesse"/>
      <sheetName val="RCO"/>
      <sheetName val="IJ AMEXA"/>
      <sheetName val="Hypotheses"/>
      <sheetName val="recettes"/>
      <sheetName val="cot prev gestion ATEXA2022"/>
      <sheetName val="compens"/>
      <sheetName val="cot prev gestion ATEXA2021"/>
      <sheetName val="cot prev gestion ATEXA2020"/>
      <sheetName val="Contribution RG"/>
      <sheetName val="Soldes Tech Gest"/>
      <sheetName val="Charges Interet"/>
      <sheetName val="Synthese"/>
      <sheetName val="Commentaires"/>
    </sheetNames>
    <sheetDataSet>
      <sheetData sheetId="0">
        <row r="10">
          <cell r="E10">
            <v>6479.5649515499999</v>
          </cell>
        </row>
        <row r="12">
          <cell r="H12">
            <v>5943.3782990700001</v>
          </cell>
          <cell r="I12">
            <v>6063.3606267700006</v>
          </cell>
        </row>
        <row r="156">
          <cell r="H156">
            <v>467.49386817000004</v>
          </cell>
          <cell r="I156">
            <v>457.67057166999996</v>
          </cell>
        </row>
        <row r="211">
          <cell r="H211">
            <v>4144.9834265099998</v>
          </cell>
          <cell r="I211">
            <v>4241.1482816799999</v>
          </cell>
        </row>
        <row r="213">
          <cell r="H213">
            <v>4140.1775857699995</v>
          </cell>
          <cell r="I213">
            <v>4231.4442780600002</v>
          </cell>
        </row>
        <row r="214">
          <cell r="H214">
            <v>4.8058407399999998</v>
          </cell>
          <cell r="I214">
            <v>9.7040036199999999</v>
          </cell>
        </row>
        <row r="238">
          <cell r="H238">
            <v>478.10890937000005</v>
          </cell>
          <cell r="I238">
            <v>454.25449061</v>
          </cell>
        </row>
      </sheetData>
      <sheetData sheetId="1">
        <row r="10">
          <cell r="E10">
            <v>128.99116383</v>
          </cell>
        </row>
        <row r="11">
          <cell r="H11">
            <v>125.9570099</v>
          </cell>
          <cell r="I11">
            <v>128.67936637</v>
          </cell>
        </row>
        <row r="97">
          <cell r="H97">
            <v>189.03915393999998</v>
          </cell>
          <cell r="I97">
            <v>187.50811718999998</v>
          </cell>
        </row>
        <row r="121">
          <cell r="H121">
            <v>0</v>
          </cell>
          <cell r="I121">
            <v>0</v>
          </cell>
        </row>
        <row r="131">
          <cell r="H131">
            <v>108.89076351999999</v>
          </cell>
          <cell r="I131">
            <v>103.31914045000001</v>
          </cell>
        </row>
      </sheetData>
      <sheetData sheetId="2">
        <row r="10">
          <cell r="E10">
            <v>389.47141745999994</v>
          </cell>
        </row>
        <row r="11">
          <cell r="H11">
            <v>307.91531816000003</v>
          </cell>
          <cell r="I11">
            <v>314.95669365999998</v>
          </cell>
        </row>
        <row r="98">
          <cell r="H98">
            <v>92.997496979999994</v>
          </cell>
          <cell r="I98">
            <v>104.52643218999999</v>
          </cell>
        </row>
        <row r="123">
          <cell r="H123">
            <v>360.71186182000002</v>
          </cell>
          <cell r="I123">
            <v>408.39499180000001</v>
          </cell>
        </row>
        <row r="132">
          <cell r="H132">
            <v>77.122423639999994</v>
          </cell>
          <cell r="I132">
            <v>62.208850720000001</v>
          </cell>
        </row>
      </sheetData>
      <sheetData sheetId="3">
        <row r="10">
          <cell r="E10">
            <v>7196.4298077899994</v>
          </cell>
        </row>
        <row r="11">
          <cell r="H11">
            <v>6592.0251362100007</v>
          </cell>
          <cell r="I11">
            <v>6670.173006009999</v>
          </cell>
        </row>
        <row r="106">
          <cell r="H106">
            <v>1220.1272068999999</v>
          </cell>
          <cell r="I106">
            <v>1258.6198170999999</v>
          </cell>
        </row>
        <row r="147">
          <cell r="H147">
            <v>2672</v>
          </cell>
          <cell r="I147">
            <v>2644</v>
          </cell>
        </row>
        <row r="150">
          <cell r="H150">
            <v>43.964913730000006</v>
          </cell>
          <cell r="I150">
            <v>31.4634958</v>
          </cell>
        </row>
        <row r="168">
          <cell r="H168">
            <v>355.94050497999996</v>
          </cell>
          <cell r="I168">
            <v>295.09391356999998</v>
          </cell>
        </row>
      </sheetData>
      <sheetData sheetId="4">
        <row r="10">
          <cell r="E10">
            <v>724.2837850599999</v>
          </cell>
        </row>
        <row r="11">
          <cell r="H11">
            <v>785.70349532</v>
          </cell>
          <cell r="I11">
            <v>1038.6704697499999</v>
          </cell>
        </row>
        <row r="66">
          <cell r="H66">
            <v>455.01889946999995</v>
          </cell>
          <cell r="I66">
            <v>470.07117010000002</v>
          </cell>
        </row>
        <row r="82">
          <cell r="H82">
            <v>130.63468305999999</v>
          </cell>
          <cell r="I82">
            <v>107.24503216999999</v>
          </cell>
        </row>
      </sheetData>
      <sheetData sheetId="5">
        <row r="10">
          <cell r="D10">
            <v>65.438417819999998</v>
          </cell>
        </row>
        <row r="12">
          <cell r="G12">
            <v>65.530601610000005</v>
          </cell>
          <cell r="H12">
            <v>69.946866200000002</v>
          </cell>
        </row>
        <row r="61">
          <cell r="G61">
            <v>68.482383510000005</v>
          </cell>
          <cell r="H61">
            <v>68.314265239999997</v>
          </cell>
        </row>
        <row r="78">
          <cell r="G78">
            <v>27.118904000000001</v>
          </cell>
          <cell r="H78">
            <v>18.745853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lvie"/>
      <sheetName val="COMPTES SA "/>
      <sheetName val="COMPTES NSA"/>
      <sheetName val="COMPTES NSA+SA_Prestations"/>
      <sheetName val="COMPTES NSA+SA_Cotisations"/>
      <sheetName val="assiette RP"/>
      <sheetName val="masse salariale 2017+graph9"/>
      <sheetName val="CSG CRDS"/>
      <sheetName val="Graph0"/>
      <sheetName val="DonnéesGraph1"/>
      <sheetName val="DonnéesGraph2"/>
      <sheetName val="DonnéesGraph3"/>
      <sheetName val="DonnéesGraph4"/>
      <sheetName val="DonnéesGraph5"/>
      <sheetName val="DonnéesGraph6"/>
      <sheetName val="DonnéesGraph7&amp;8"/>
    </sheetNames>
    <sheetDataSet>
      <sheetData sheetId="0"/>
      <sheetData sheetId="1">
        <row r="6">
          <cell r="O6">
            <v>2038.58964608</v>
          </cell>
        </row>
      </sheetData>
      <sheetData sheetId="2">
        <row r="6">
          <cell r="O6">
            <v>824.37023610000006</v>
          </cell>
        </row>
        <row r="91">
          <cell r="B91">
            <v>-189.15947750000083</v>
          </cell>
          <cell r="C91">
            <v>52.116519549999992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10">
          <cell r="R10">
            <v>1160308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sations NSA - Tableaux 1à4 "/>
      <sheetName val="Cotisations NSA - Tableau 5 ok"/>
      <sheetName val="Cotisations NSA - Tableau 6"/>
      <sheetName val="Cotisations NSA - Ecarts1"/>
      <sheetName val="Cotisations NSA - Ecarts2"/>
      <sheetName val="Chiffrage des mesures 2022"/>
    </sheetNames>
    <sheetDataSet>
      <sheetData sheetId="0">
        <row r="5">
          <cell r="E5">
            <v>425857</v>
          </cell>
        </row>
        <row r="6">
          <cell r="E6">
            <v>20060</v>
          </cell>
        </row>
        <row r="7">
          <cell r="E7">
            <v>2804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sevestre.yannick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67EA-88EB-40ED-A251-9669BB955557}">
  <dimension ref="A1:AG166"/>
  <sheetViews>
    <sheetView showGridLines="0" tabSelected="1" workbookViewId="0">
      <selection activeCell="A5" sqref="A5:G5"/>
    </sheetView>
  </sheetViews>
  <sheetFormatPr baseColWidth="10" defaultRowHeight="12.5" x14ac:dyDescent="0.25"/>
  <cols>
    <col min="8" max="33" width="10.90625" style="481"/>
  </cols>
  <sheetData>
    <row r="1" spans="1:7" ht="13" thickTop="1" x14ac:dyDescent="0.25">
      <c r="A1" s="478"/>
      <c r="B1" s="479"/>
      <c r="C1" s="479"/>
      <c r="D1" s="479"/>
      <c r="E1" s="479"/>
      <c r="F1" s="479"/>
      <c r="G1" s="480" t="s">
        <v>218</v>
      </c>
    </row>
    <row r="2" spans="1:7" x14ac:dyDescent="0.25">
      <c r="A2" s="482"/>
      <c r="G2" s="483"/>
    </row>
    <row r="3" spans="1:7" x14ac:dyDescent="0.25">
      <c r="A3" s="482"/>
      <c r="G3" s="483"/>
    </row>
    <row r="4" spans="1:7" x14ac:dyDescent="0.25">
      <c r="A4" s="482"/>
      <c r="G4" s="483"/>
    </row>
    <row r="5" spans="1:7" ht="20" x14ac:dyDescent="0.4">
      <c r="A5" s="484" t="s">
        <v>217</v>
      </c>
      <c r="B5" s="485"/>
      <c r="C5" s="485"/>
      <c r="D5" s="485"/>
      <c r="E5" s="485"/>
      <c r="F5" s="485"/>
      <c r="G5" s="486"/>
    </row>
    <row r="6" spans="1:7" ht="20" x14ac:dyDescent="0.4">
      <c r="A6" s="484" t="s">
        <v>205</v>
      </c>
      <c r="B6" s="485"/>
      <c r="C6" s="485"/>
      <c r="D6" s="485"/>
      <c r="E6" s="485"/>
      <c r="F6" s="485"/>
      <c r="G6" s="486"/>
    </row>
    <row r="7" spans="1:7" ht="20" x14ac:dyDescent="0.4">
      <c r="A7" s="487"/>
      <c r="B7" s="488"/>
      <c r="C7" s="488"/>
      <c r="D7" s="488"/>
      <c r="E7" s="488"/>
      <c r="F7" s="488"/>
      <c r="G7" s="489"/>
    </row>
    <row r="8" spans="1:7" x14ac:dyDescent="0.25">
      <c r="A8" s="482"/>
      <c r="G8" s="483"/>
    </row>
    <row r="9" spans="1:7" x14ac:dyDescent="0.25">
      <c r="A9" s="482"/>
      <c r="G9" s="483"/>
    </row>
    <row r="10" spans="1:7" x14ac:dyDescent="0.25">
      <c r="A10" s="482"/>
      <c r="G10" s="490" t="s">
        <v>176</v>
      </c>
    </row>
    <row r="11" spans="1:7" x14ac:dyDescent="0.25">
      <c r="A11" s="482" t="s">
        <v>206</v>
      </c>
      <c r="G11" s="483"/>
    </row>
    <row r="12" spans="1:7" ht="13" x14ac:dyDescent="0.25">
      <c r="A12" s="491" t="s">
        <v>207</v>
      </c>
      <c r="G12" s="483"/>
    </row>
    <row r="13" spans="1:7" x14ac:dyDescent="0.25">
      <c r="A13" s="492" t="s">
        <v>208</v>
      </c>
      <c r="G13" s="483"/>
    </row>
    <row r="14" spans="1:7" x14ac:dyDescent="0.25">
      <c r="A14" s="493"/>
      <c r="G14" s="483"/>
    </row>
    <row r="15" spans="1:7" x14ac:dyDescent="0.25">
      <c r="A15" s="491" t="s">
        <v>209</v>
      </c>
      <c r="G15" s="483"/>
    </row>
    <row r="16" spans="1:7" x14ac:dyDescent="0.25">
      <c r="A16" s="491" t="s">
        <v>210</v>
      </c>
      <c r="G16" s="483"/>
    </row>
    <row r="17" spans="1:7" x14ac:dyDescent="0.25">
      <c r="A17" s="494" t="s">
        <v>211</v>
      </c>
      <c r="G17" s="483"/>
    </row>
    <row r="18" spans="1:7" x14ac:dyDescent="0.25">
      <c r="A18" s="494"/>
      <c r="G18" s="483"/>
    </row>
    <row r="19" spans="1:7" x14ac:dyDescent="0.25">
      <c r="A19" s="495" t="s">
        <v>212</v>
      </c>
      <c r="B19" s="170"/>
      <c r="C19" s="170"/>
      <c r="G19" s="483"/>
    </row>
    <row r="20" spans="1:7" x14ac:dyDescent="0.25">
      <c r="A20" s="495" t="s">
        <v>213</v>
      </c>
      <c r="B20" s="170"/>
      <c r="C20" s="170"/>
      <c r="G20" s="483"/>
    </row>
    <row r="21" spans="1:7" x14ac:dyDescent="0.25">
      <c r="A21" s="494" t="s">
        <v>214</v>
      </c>
      <c r="G21" s="483"/>
    </row>
    <row r="22" spans="1:7" x14ac:dyDescent="0.25">
      <c r="A22" s="482"/>
      <c r="G22" s="483"/>
    </row>
    <row r="23" spans="1:7" x14ac:dyDescent="0.25">
      <c r="A23" s="496" t="s">
        <v>215</v>
      </c>
      <c r="G23" s="483"/>
    </row>
    <row r="24" spans="1:7" x14ac:dyDescent="0.25">
      <c r="A24" s="494" t="s">
        <v>216</v>
      </c>
      <c r="G24" s="483"/>
    </row>
    <row r="25" spans="1:7" ht="13" thickBot="1" x14ac:dyDescent="0.3">
      <c r="A25" s="497"/>
      <c r="B25" s="498"/>
      <c r="C25" s="498"/>
      <c r="D25" s="498"/>
      <c r="E25" s="498"/>
      <c r="F25" s="498"/>
      <c r="G25" s="499"/>
    </row>
    <row r="26" spans="1:7" s="481" customFormat="1" ht="13" thickTop="1" x14ac:dyDescent="0.25"/>
    <row r="27" spans="1:7" s="481" customFormat="1" x14ac:dyDescent="0.25"/>
    <row r="28" spans="1:7" s="481" customFormat="1" x14ac:dyDescent="0.25"/>
    <row r="29" spans="1:7" s="481" customFormat="1" x14ac:dyDescent="0.25"/>
    <row r="30" spans="1:7" s="481" customFormat="1" x14ac:dyDescent="0.25"/>
    <row r="31" spans="1:7" s="481" customFormat="1" x14ac:dyDescent="0.25"/>
    <row r="32" spans="1:7" s="481" customFormat="1" x14ac:dyDescent="0.25"/>
    <row r="33" s="481" customFormat="1" x14ac:dyDescent="0.25"/>
    <row r="34" s="481" customFormat="1" x14ac:dyDescent="0.25"/>
    <row r="35" s="481" customFormat="1" x14ac:dyDescent="0.25"/>
    <row r="36" s="481" customFormat="1" x14ac:dyDescent="0.25"/>
    <row r="37" s="481" customFormat="1" x14ac:dyDescent="0.25"/>
    <row r="38" s="481" customFormat="1" x14ac:dyDescent="0.25"/>
    <row r="39" s="481" customFormat="1" x14ac:dyDescent="0.25"/>
    <row r="40" s="481" customFormat="1" x14ac:dyDescent="0.25"/>
    <row r="41" s="481" customFormat="1" x14ac:dyDescent="0.25"/>
    <row r="42" s="481" customFormat="1" x14ac:dyDescent="0.25"/>
    <row r="43" s="481" customFormat="1" x14ac:dyDescent="0.25"/>
    <row r="44" s="481" customFormat="1" x14ac:dyDescent="0.25"/>
    <row r="45" s="481" customFormat="1" x14ac:dyDescent="0.25"/>
    <row r="46" s="481" customFormat="1" x14ac:dyDescent="0.25"/>
    <row r="47" s="481" customFormat="1" x14ac:dyDescent="0.25"/>
    <row r="48" s="481" customFormat="1" x14ac:dyDescent="0.25"/>
    <row r="49" s="481" customFormat="1" x14ac:dyDescent="0.25"/>
    <row r="50" s="481" customFormat="1" x14ac:dyDescent="0.25"/>
    <row r="51" s="481" customFormat="1" x14ac:dyDescent="0.25"/>
    <row r="52" s="481" customFormat="1" x14ac:dyDescent="0.25"/>
    <row r="53" s="481" customFormat="1" x14ac:dyDescent="0.25"/>
    <row r="54" s="481" customFormat="1" x14ac:dyDescent="0.25"/>
    <row r="55" s="481" customFormat="1" x14ac:dyDescent="0.25"/>
    <row r="56" s="481" customFormat="1" x14ac:dyDescent="0.25"/>
    <row r="57" s="481" customFormat="1" x14ac:dyDescent="0.25"/>
    <row r="58" s="481" customFormat="1" x14ac:dyDescent="0.25"/>
    <row r="59" s="481" customFormat="1" x14ac:dyDescent="0.25"/>
    <row r="60" s="481" customFormat="1" x14ac:dyDescent="0.25"/>
    <row r="61" s="481" customFormat="1" x14ac:dyDescent="0.25"/>
    <row r="62" s="481" customFormat="1" x14ac:dyDescent="0.25"/>
    <row r="63" s="481" customFormat="1" x14ac:dyDescent="0.25"/>
    <row r="64" s="481" customFormat="1" x14ac:dyDescent="0.25"/>
    <row r="65" s="481" customFormat="1" x14ac:dyDescent="0.25"/>
    <row r="66" s="481" customFormat="1" x14ac:dyDescent="0.25"/>
    <row r="67" s="481" customFormat="1" x14ac:dyDescent="0.25"/>
    <row r="68" s="481" customFormat="1" x14ac:dyDescent="0.25"/>
    <row r="69" s="481" customFormat="1" x14ac:dyDescent="0.25"/>
    <row r="70" s="481" customFormat="1" x14ac:dyDescent="0.25"/>
    <row r="71" s="481" customFormat="1" x14ac:dyDescent="0.25"/>
    <row r="72" s="481" customFormat="1" x14ac:dyDescent="0.25"/>
    <row r="73" s="481" customFormat="1" x14ac:dyDescent="0.25"/>
    <row r="74" s="481" customFormat="1" x14ac:dyDescent="0.25"/>
    <row r="75" s="481" customFormat="1" x14ac:dyDescent="0.25"/>
    <row r="76" s="481" customFormat="1" x14ac:dyDescent="0.25"/>
    <row r="77" s="481" customFormat="1" x14ac:dyDescent="0.25"/>
    <row r="78" s="481" customFormat="1" x14ac:dyDescent="0.25"/>
    <row r="79" s="481" customFormat="1" x14ac:dyDescent="0.25"/>
    <row r="80" s="481" customFormat="1" x14ac:dyDescent="0.25"/>
    <row r="81" s="481" customFormat="1" x14ac:dyDescent="0.25"/>
    <row r="82" s="481" customFormat="1" x14ac:dyDescent="0.25"/>
    <row r="83" s="481" customFormat="1" x14ac:dyDescent="0.25"/>
    <row r="84" s="481" customFormat="1" x14ac:dyDescent="0.25"/>
    <row r="85" s="481" customFormat="1" x14ac:dyDescent="0.25"/>
    <row r="86" s="481" customFormat="1" x14ac:dyDescent="0.25"/>
    <row r="87" s="481" customFormat="1" x14ac:dyDescent="0.25"/>
    <row r="88" s="481" customFormat="1" x14ac:dyDescent="0.25"/>
    <row r="89" s="481" customFormat="1" x14ac:dyDescent="0.25"/>
    <row r="90" s="481" customFormat="1" x14ac:dyDescent="0.25"/>
    <row r="91" s="481" customFormat="1" x14ac:dyDescent="0.25"/>
    <row r="92" s="481" customFormat="1" x14ac:dyDescent="0.25"/>
    <row r="93" s="481" customFormat="1" x14ac:dyDescent="0.25"/>
    <row r="94" s="481" customFormat="1" x14ac:dyDescent="0.25"/>
    <row r="95" s="481" customFormat="1" x14ac:dyDescent="0.25"/>
    <row r="96" s="481" customFormat="1" x14ac:dyDescent="0.25"/>
    <row r="97" s="481" customFormat="1" x14ac:dyDescent="0.25"/>
    <row r="98" s="481" customFormat="1" x14ac:dyDescent="0.25"/>
    <row r="99" s="481" customFormat="1" x14ac:dyDescent="0.25"/>
    <row r="100" s="481" customFormat="1" x14ac:dyDescent="0.25"/>
    <row r="101" s="481" customFormat="1" x14ac:dyDescent="0.25"/>
    <row r="102" s="481" customFormat="1" x14ac:dyDescent="0.25"/>
    <row r="103" s="481" customFormat="1" x14ac:dyDescent="0.25"/>
    <row r="104" s="481" customFormat="1" x14ac:dyDescent="0.25"/>
    <row r="105" s="481" customFormat="1" x14ac:dyDescent="0.25"/>
    <row r="106" s="481" customFormat="1" x14ac:dyDescent="0.25"/>
    <row r="107" s="481" customFormat="1" x14ac:dyDescent="0.25"/>
    <row r="108" s="481" customFormat="1" x14ac:dyDescent="0.25"/>
    <row r="109" s="481" customFormat="1" x14ac:dyDescent="0.25"/>
    <row r="110" s="481" customFormat="1" x14ac:dyDescent="0.25"/>
    <row r="111" s="481" customFormat="1" x14ac:dyDescent="0.25"/>
    <row r="112" s="481" customFormat="1" x14ac:dyDescent="0.25"/>
    <row r="113" s="481" customFormat="1" x14ac:dyDescent="0.25"/>
    <row r="114" s="481" customFormat="1" x14ac:dyDescent="0.25"/>
    <row r="115" s="481" customFormat="1" x14ac:dyDescent="0.25"/>
    <row r="116" s="481" customFormat="1" x14ac:dyDescent="0.25"/>
    <row r="117" s="481" customFormat="1" x14ac:dyDescent="0.25"/>
    <row r="118" s="481" customFormat="1" x14ac:dyDescent="0.25"/>
    <row r="119" s="481" customFormat="1" x14ac:dyDescent="0.25"/>
    <row r="120" s="481" customFormat="1" x14ac:dyDescent="0.25"/>
    <row r="121" s="481" customFormat="1" x14ac:dyDescent="0.25"/>
    <row r="122" s="481" customFormat="1" x14ac:dyDescent="0.25"/>
    <row r="123" s="481" customFormat="1" x14ac:dyDescent="0.25"/>
    <row r="124" s="481" customFormat="1" x14ac:dyDescent="0.25"/>
    <row r="125" s="481" customFormat="1" x14ac:dyDescent="0.25"/>
    <row r="126" s="481" customFormat="1" x14ac:dyDescent="0.25"/>
    <row r="127" s="481" customFormat="1" x14ac:dyDescent="0.25"/>
    <row r="128" s="481" customFormat="1" x14ac:dyDescent="0.25"/>
    <row r="129" s="481" customFormat="1" x14ac:dyDescent="0.25"/>
    <row r="130" s="481" customFormat="1" x14ac:dyDescent="0.25"/>
    <row r="131" s="481" customFormat="1" x14ac:dyDescent="0.25"/>
    <row r="132" s="481" customFormat="1" x14ac:dyDescent="0.25"/>
    <row r="133" s="481" customFormat="1" x14ac:dyDescent="0.25"/>
    <row r="134" s="481" customFormat="1" x14ac:dyDescent="0.25"/>
    <row r="135" s="481" customFormat="1" x14ac:dyDescent="0.25"/>
    <row r="136" s="481" customFormat="1" x14ac:dyDescent="0.25"/>
    <row r="137" s="481" customFormat="1" x14ac:dyDescent="0.25"/>
    <row r="138" s="481" customFormat="1" x14ac:dyDescent="0.25"/>
    <row r="139" s="481" customFormat="1" x14ac:dyDescent="0.25"/>
    <row r="140" s="481" customFormat="1" x14ac:dyDescent="0.25"/>
    <row r="141" s="481" customFormat="1" x14ac:dyDescent="0.25"/>
    <row r="142" s="481" customFormat="1" x14ac:dyDescent="0.25"/>
    <row r="143" s="481" customFormat="1" x14ac:dyDescent="0.25"/>
    <row r="144" s="481" customFormat="1" x14ac:dyDescent="0.25"/>
    <row r="145" s="481" customFormat="1" x14ac:dyDescent="0.25"/>
    <row r="146" s="481" customFormat="1" x14ac:dyDescent="0.25"/>
    <row r="147" s="481" customFormat="1" x14ac:dyDescent="0.25"/>
    <row r="148" s="481" customFormat="1" x14ac:dyDescent="0.25"/>
    <row r="149" s="481" customFormat="1" x14ac:dyDescent="0.25"/>
    <row r="150" s="481" customFormat="1" x14ac:dyDescent="0.25"/>
    <row r="151" s="481" customFormat="1" x14ac:dyDescent="0.25"/>
    <row r="152" s="481" customFormat="1" x14ac:dyDescent="0.25"/>
    <row r="153" s="481" customFormat="1" x14ac:dyDescent="0.25"/>
    <row r="154" s="481" customFormat="1" x14ac:dyDescent="0.25"/>
    <row r="155" s="481" customFormat="1" x14ac:dyDescent="0.25"/>
    <row r="156" s="481" customFormat="1" x14ac:dyDescent="0.25"/>
    <row r="157" s="481" customFormat="1" x14ac:dyDescent="0.25"/>
    <row r="158" s="481" customFormat="1" x14ac:dyDescent="0.25"/>
    <row r="159" s="481" customFormat="1" x14ac:dyDescent="0.25"/>
    <row r="160" s="481" customFormat="1" x14ac:dyDescent="0.25"/>
    <row r="161" s="481" customFormat="1" x14ac:dyDescent="0.25"/>
    <row r="162" s="481" customFormat="1" x14ac:dyDescent="0.25"/>
    <row r="163" s="481" customFormat="1" x14ac:dyDescent="0.25"/>
    <row r="164" s="481" customFormat="1" x14ac:dyDescent="0.25"/>
    <row r="165" s="481" customFormat="1" x14ac:dyDescent="0.25"/>
    <row r="166" s="481" customFormat="1" x14ac:dyDescent="0.25"/>
  </sheetData>
  <mergeCells count="3">
    <mergeCell ref="A5:G5"/>
    <mergeCell ref="A6:G6"/>
    <mergeCell ref="A7:G7"/>
  </mergeCells>
  <hyperlinks>
    <hyperlink ref="A13" r:id="rId1" display="mailto:joubert.nadia@ccmsa.msa.fr" xr:uid="{8BF9191C-E46D-4CAF-B6EA-E97ABA473D36}"/>
    <hyperlink ref="A17" r:id="rId2" xr:uid="{48F78BD3-9240-4F6E-84B2-DD6CD431F287}"/>
    <hyperlink ref="A24" r:id="rId3" xr:uid="{689FF819-2B32-468D-B8FB-068DFB936F1E}"/>
    <hyperlink ref="A21" r:id="rId4" xr:uid="{B46C9E34-D23D-45CC-AAAC-B98AD450634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E13"/>
  <sheetViews>
    <sheetView workbookViewId="0">
      <selection activeCell="A23" sqref="A23"/>
    </sheetView>
  </sheetViews>
  <sheetFormatPr baseColWidth="10" defaultRowHeight="12.5" x14ac:dyDescent="0.25"/>
  <cols>
    <col min="1" max="1" width="81" bestFit="1" customWidth="1"/>
    <col min="4" max="4" width="13.81640625" style="276" bestFit="1" customWidth="1"/>
    <col min="5" max="5" width="17" style="276" customWidth="1"/>
  </cols>
  <sheetData>
    <row r="1" spans="1:5" ht="26" x14ac:dyDescent="0.25">
      <c r="A1" s="284" t="s">
        <v>153</v>
      </c>
      <c r="B1" s="283">
        <v>2015</v>
      </c>
      <c r="C1" s="283">
        <v>2016</v>
      </c>
      <c r="D1" s="285" t="s">
        <v>121</v>
      </c>
      <c r="E1" s="284" t="s">
        <v>150</v>
      </c>
    </row>
    <row r="2" spans="1:5" x14ac:dyDescent="0.25">
      <c r="A2" s="288" t="s">
        <v>134</v>
      </c>
      <c r="B2" s="289">
        <v>100.40417825</v>
      </c>
      <c r="C2" s="289">
        <v>0</v>
      </c>
      <c r="D2" s="290">
        <f t="shared" ref="D2:D10" si="0">C2/$C$11</f>
        <v>0</v>
      </c>
      <c r="E2" s="297" t="s">
        <v>151</v>
      </c>
    </row>
    <row r="3" spans="1:5" x14ac:dyDescent="0.25">
      <c r="A3" s="291" t="s">
        <v>141</v>
      </c>
      <c r="B3" s="292">
        <v>15.04352967</v>
      </c>
      <c r="C3" s="292">
        <v>0</v>
      </c>
      <c r="D3" s="293">
        <f t="shared" si="0"/>
        <v>0</v>
      </c>
      <c r="E3" s="298" t="s">
        <v>151</v>
      </c>
    </row>
    <row r="4" spans="1:5" x14ac:dyDescent="0.25">
      <c r="A4" s="291" t="s">
        <v>142</v>
      </c>
      <c r="B4" s="292">
        <v>115.77636389</v>
      </c>
      <c r="C4" s="292">
        <v>105.69936294000001</v>
      </c>
      <c r="D4" s="293">
        <f t="shared" si="0"/>
        <v>8.1296778490534072E-2</v>
      </c>
      <c r="E4" s="299">
        <v>-8.7038499149742043E-2</v>
      </c>
    </row>
    <row r="5" spans="1:5" x14ac:dyDescent="0.25">
      <c r="A5" s="291" t="s">
        <v>143</v>
      </c>
      <c r="B5" s="292">
        <v>952.56898638999996</v>
      </c>
      <c r="C5" s="292">
        <v>935.21756369000002</v>
      </c>
      <c r="D5" s="293">
        <f t="shared" si="0"/>
        <v>0.71930589741511697</v>
      </c>
      <c r="E5" s="299">
        <v>-1.821539746507761E-2</v>
      </c>
    </row>
    <row r="6" spans="1:5" x14ac:dyDescent="0.25">
      <c r="A6" s="291" t="s">
        <v>145</v>
      </c>
      <c r="B6" s="292">
        <v>158.633747</v>
      </c>
      <c r="C6" s="292">
        <v>141.876791</v>
      </c>
      <c r="D6" s="293">
        <f t="shared" si="0"/>
        <v>0.10912200159070132</v>
      </c>
      <c r="E6" s="299">
        <v>-0.10563298362989559</v>
      </c>
    </row>
    <row r="7" spans="1:5" x14ac:dyDescent="0.25">
      <c r="A7" s="291" t="s">
        <v>149</v>
      </c>
      <c r="B7" s="292">
        <v>63.089046169999996</v>
      </c>
      <c r="C7" s="292">
        <v>62.692565159999994</v>
      </c>
      <c r="D7" s="293">
        <f t="shared" si="0"/>
        <v>4.8218867560337372E-2</v>
      </c>
      <c r="E7" s="299">
        <v>-6.2844667033266077E-3</v>
      </c>
    </row>
    <row r="8" spans="1:5" x14ac:dyDescent="0.25">
      <c r="A8" s="291" t="s">
        <v>144</v>
      </c>
      <c r="B8" s="292">
        <v>2.3867078099999999</v>
      </c>
      <c r="C8" s="292">
        <v>2.7880174800000002</v>
      </c>
      <c r="D8" s="293">
        <f t="shared" si="0"/>
        <v>2.1443538844028625E-3</v>
      </c>
      <c r="E8" s="299">
        <v>0.1681436111779433</v>
      </c>
    </row>
    <row r="9" spans="1:5" x14ac:dyDescent="0.25">
      <c r="A9" s="291" t="s">
        <v>146</v>
      </c>
      <c r="B9" s="292">
        <v>70.495715000000004</v>
      </c>
      <c r="C9" s="292">
        <v>51.603861000000002</v>
      </c>
      <c r="D9" s="293">
        <f t="shared" si="0"/>
        <v>3.9690188666082322E-2</v>
      </c>
      <c r="E9" s="299">
        <v>-0.26798584850157203</v>
      </c>
    </row>
    <row r="10" spans="1:5" x14ac:dyDescent="0.25">
      <c r="A10" s="294" t="s">
        <v>147</v>
      </c>
      <c r="B10" s="295">
        <v>0</v>
      </c>
      <c r="C10" s="295">
        <v>0.28852310000000003</v>
      </c>
      <c r="D10" s="296">
        <f t="shared" si="0"/>
        <v>2.2191239282508214E-4</v>
      </c>
      <c r="E10" s="300" t="s">
        <v>152</v>
      </c>
    </row>
    <row r="11" spans="1:5" ht="13" x14ac:dyDescent="0.3">
      <c r="A11" s="221" t="s">
        <v>148</v>
      </c>
      <c r="B11" s="286">
        <f>SUM(B2:B10)</f>
        <v>1478.39827418</v>
      </c>
      <c r="C11" s="286">
        <f>SUM(C2:C10)</f>
        <v>1300.16668437</v>
      </c>
      <c r="D11" s="287">
        <f>SUM(D2:D10)</f>
        <v>0.99999999999999989</v>
      </c>
      <c r="E11" s="301">
        <v>-0.12055722258527191</v>
      </c>
    </row>
    <row r="12" spans="1:5" x14ac:dyDescent="0.25">
      <c r="B12" s="29" t="b">
        <f>B11='%charges ok'!B3</f>
        <v>0</v>
      </c>
      <c r="C12" s="29" t="b">
        <f>C11='%charges ok'!C3</f>
        <v>0</v>
      </c>
    </row>
    <row r="13" spans="1:5" x14ac:dyDescent="0.25">
      <c r="B13" s="29"/>
      <c r="C13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29"/>
  </sheetPr>
  <dimension ref="A1:AC115"/>
  <sheetViews>
    <sheetView zoomScaleNormal="100" workbookViewId="0"/>
  </sheetViews>
  <sheetFormatPr baseColWidth="10" defaultRowHeight="12.5" x14ac:dyDescent="0.25"/>
  <cols>
    <col min="1" max="1" width="46.453125" style="141" customWidth="1"/>
    <col min="2" max="2" width="9.26953125" style="146" bestFit="1" customWidth="1"/>
    <col min="3" max="3" width="12" style="146" bestFit="1" customWidth="1"/>
    <col min="4" max="4" width="8.54296875" style="138" customWidth="1"/>
    <col min="5" max="5" width="8.54296875" style="139" customWidth="1"/>
    <col min="6" max="8" width="6.1796875" style="144" customWidth="1"/>
    <col min="9" max="9" width="6.1796875" style="145" customWidth="1"/>
    <col min="10" max="10" width="9" style="146" bestFit="1" customWidth="1"/>
    <col min="11" max="11" width="8.26953125" style="138" customWidth="1"/>
    <col min="12" max="12" width="8.26953125" style="139" customWidth="1"/>
    <col min="13" max="13" width="5.26953125" style="125" customWidth="1"/>
    <col min="14" max="14" width="43.1796875" customWidth="1"/>
    <col min="15" max="15" width="9.81640625" style="173" bestFit="1" customWidth="1"/>
    <col min="16" max="16" width="10" style="173" bestFit="1" customWidth="1"/>
    <col min="17" max="17" width="7.81640625" style="174" bestFit="1" customWidth="1"/>
    <col min="18" max="18" width="7.81640625" style="174" customWidth="1"/>
    <col min="19" max="19" width="8.81640625" style="168" bestFit="1" customWidth="1"/>
    <col min="20" max="21" width="6.26953125" style="168" customWidth="1"/>
    <col min="22" max="22" width="6.26953125" style="169" customWidth="1"/>
    <col min="23" max="23" width="8.26953125" style="173" customWidth="1"/>
    <col min="24" max="24" width="8.26953125" style="170" bestFit="1" customWidth="1"/>
    <col min="25" max="25" width="8.26953125" style="6" customWidth="1"/>
  </cols>
  <sheetData>
    <row r="1" spans="1:25" s="50" customFormat="1" ht="13" x14ac:dyDescent="0.3">
      <c r="A1" s="33"/>
      <c r="B1" s="34"/>
      <c r="C1" s="34"/>
      <c r="D1" s="34">
        <f>D5-'NSA1 ok'!B3</f>
        <v>134.91152910000164</v>
      </c>
      <c r="E1" s="35">
        <f>E5-'NSA1 ok'!C3</f>
        <v>246.26101210000343</v>
      </c>
      <c r="F1" s="36"/>
      <c r="G1" s="37"/>
      <c r="H1" s="37"/>
      <c r="I1" s="38"/>
      <c r="J1" s="34"/>
      <c r="K1" s="39"/>
      <c r="L1" s="40"/>
      <c r="M1" s="41"/>
      <c r="N1" s="42"/>
      <c r="O1" s="43"/>
      <c r="P1" s="43"/>
      <c r="Q1" s="44"/>
      <c r="R1" s="336"/>
      <c r="S1" s="45"/>
      <c r="T1" s="45"/>
      <c r="U1" s="46"/>
      <c r="V1" s="47"/>
      <c r="W1" s="43"/>
      <c r="X1" s="48"/>
      <c r="Y1" s="49"/>
    </row>
    <row r="2" spans="1:25" ht="11.25" customHeight="1" x14ac:dyDescent="0.3">
      <c r="A2" s="451" t="s">
        <v>0</v>
      </c>
      <c r="B2" s="460" t="s">
        <v>29</v>
      </c>
      <c r="C2" s="461"/>
      <c r="D2" s="462"/>
      <c r="E2" s="463"/>
      <c r="F2" s="456" t="s">
        <v>30</v>
      </c>
      <c r="G2" s="456"/>
      <c r="H2" s="456"/>
      <c r="I2" s="456"/>
      <c r="J2" s="459" t="s">
        <v>31</v>
      </c>
      <c r="K2" s="459"/>
      <c r="L2" s="459"/>
      <c r="M2" s="51"/>
      <c r="N2" s="52"/>
      <c r="O2" s="460" t="s">
        <v>29</v>
      </c>
      <c r="P2" s="461"/>
      <c r="Q2" s="464"/>
      <c r="R2" s="463"/>
      <c r="S2" s="457" t="s">
        <v>30</v>
      </c>
      <c r="T2" s="458"/>
      <c r="U2" s="458"/>
      <c r="V2" s="458"/>
      <c r="W2" s="453" t="s">
        <v>31</v>
      </c>
      <c r="X2" s="454"/>
      <c r="Y2" s="455"/>
    </row>
    <row r="3" spans="1:25" s="64" customFormat="1" ht="13" x14ac:dyDescent="0.25">
      <c r="A3" s="452"/>
      <c r="B3" s="53">
        <v>2019</v>
      </c>
      <c r="C3" s="53">
        <f>B3+1</f>
        <v>2020</v>
      </c>
      <c r="D3" s="53">
        <f>C3+1</f>
        <v>2021</v>
      </c>
      <c r="E3" s="54">
        <f>D3+1</f>
        <v>2022</v>
      </c>
      <c r="F3" s="55">
        <f>B3</f>
        <v>2019</v>
      </c>
      <c r="G3" s="55">
        <f>F3+1</f>
        <v>2020</v>
      </c>
      <c r="H3" s="55">
        <f>G3+1</f>
        <v>2021</v>
      </c>
      <c r="I3" s="56">
        <f>H3+1</f>
        <v>2022</v>
      </c>
      <c r="J3" s="57">
        <f>G3</f>
        <v>2020</v>
      </c>
      <c r="K3" s="57">
        <f>H3</f>
        <v>2021</v>
      </c>
      <c r="L3" s="58">
        <f>I3</f>
        <v>2022</v>
      </c>
      <c r="M3" s="59"/>
      <c r="N3" s="60" t="s">
        <v>2</v>
      </c>
      <c r="O3" s="53">
        <f>B3</f>
        <v>2019</v>
      </c>
      <c r="P3" s="53">
        <f>C3</f>
        <v>2020</v>
      </c>
      <c r="Q3" s="184">
        <f>D3</f>
        <v>2021</v>
      </c>
      <c r="R3" s="54">
        <f>E3</f>
        <v>2022</v>
      </c>
      <c r="S3" s="61">
        <f>O3</f>
        <v>2019</v>
      </c>
      <c r="T3" s="61">
        <f>P3</f>
        <v>2020</v>
      </c>
      <c r="U3" s="62">
        <f>Q3</f>
        <v>2021</v>
      </c>
      <c r="V3" s="63">
        <f>R3</f>
        <v>2022</v>
      </c>
      <c r="W3" s="61">
        <f>T3</f>
        <v>2020</v>
      </c>
      <c r="X3" s="62">
        <f>U3</f>
        <v>2021</v>
      </c>
      <c r="Y3" s="63">
        <f>V3</f>
        <v>2022</v>
      </c>
    </row>
    <row r="4" spans="1:25" ht="10" customHeight="1" x14ac:dyDescent="0.25">
      <c r="A4" s="65"/>
      <c r="B4" s="66"/>
      <c r="C4" s="67"/>
      <c r="D4" s="67"/>
      <c r="E4" s="68"/>
      <c r="F4" s="69"/>
      <c r="G4" s="69"/>
      <c r="H4" s="69"/>
      <c r="I4" s="70"/>
      <c r="J4" s="71"/>
      <c r="K4" s="71"/>
      <c r="L4" s="72"/>
      <c r="M4" s="73"/>
      <c r="N4" s="74"/>
      <c r="O4" s="75"/>
      <c r="P4" s="75"/>
      <c r="Q4" s="67"/>
      <c r="R4" s="68"/>
      <c r="S4" s="76"/>
      <c r="T4" s="76"/>
      <c r="U4" s="76"/>
      <c r="V4" s="77"/>
      <c r="W4" s="78"/>
      <c r="X4" s="188"/>
      <c r="Y4" s="79"/>
    </row>
    <row r="5" spans="1:25" s="93" customFormat="1" ht="11.5" x14ac:dyDescent="0.25">
      <c r="A5" s="80" t="s">
        <v>32</v>
      </c>
      <c r="B5" s="185">
        <f>SUM(B7:B12)</f>
        <v>14769.332302660001</v>
      </c>
      <c r="C5" s="185">
        <f>SUM(C7:C12)</f>
        <v>14933.744695000001</v>
      </c>
      <c r="D5" s="185">
        <f>SUM(D7:D12)</f>
        <v>13955.421389370002</v>
      </c>
      <c r="E5" s="82">
        <f>SUM(E7:E11)</f>
        <v>14532.048040860001</v>
      </c>
      <c r="F5" s="83">
        <f>B5/$B$57</f>
        <v>0.84077609087607807</v>
      </c>
      <c r="G5" s="83">
        <f>C5/$C$57</f>
        <v>0.80982370409304683</v>
      </c>
      <c r="H5" s="83">
        <f>D5/$D$57</f>
        <v>0.86475145462352598</v>
      </c>
      <c r="I5" s="84">
        <f>E5/$E$57</f>
        <v>0.87233345584304312</v>
      </c>
      <c r="J5" s="85">
        <f>C5/B5-1</f>
        <v>1.1132012535894242E-2</v>
      </c>
      <c r="K5" s="85">
        <f>D5/C5-1</f>
        <v>-6.5510916760051052E-2</v>
      </c>
      <c r="L5" s="86">
        <f>E5/D5-1</f>
        <v>4.1319185956593341E-2</v>
      </c>
      <c r="M5" s="87"/>
      <c r="N5" s="88" t="s">
        <v>33</v>
      </c>
      <c r="O5" s="81">
        <f>SUM(O6:O10)</f>
        <v>2341.3618388300001</v>
      </c>
      <c r="P5" s="81">
        <f>SUM(P6:P10)</f>
        <v>2471.5478306599998</v>
      </c>
      <c r="Q5" s="185">
        <f>SUM(Q6:Q10)</f>
        <v>2496.0193479199997</v>
      </c>
      <c r="R5" s="81">
        <f>SUM(R6:R10)</f>
        <v>2547.3268893799996</v>
      </c>
      <c r="S5" s="83">
        <f>O5/$O$75</f>
        <v>0.13257685804604316</v>
      </c>
      <c r="T5" s="83">
        <f>P5/$P$75</f>
        <v>0.13404015694178431</v>
      </c>
      <c r="U5" s="83">
        <f>Q5/$P$75</f>
        <v>0.13536732770232671</v>
      </c>
      <c r="V5" s="90">
        <f>R5/$R$75</f>
        <v>0.15123861801538535</v>
      </c>
      <c r="W5" s="85">
        <f t="shared" ref="W5:Y10" si="0">P5/O5-1</f>
        <v>5.5602679462416926E-2</v>
      </c>
      <c r="X5" s="91">
        <f t="shared" si="0"/>
        <v>9.9012922009544813E-3</v>
      </c>
      <c r="Y5" s="92">
        <f t="shared" si="0"/>
        <v>2.0555746694333799E-2</v>
      </c>
    </row>
    <row r="6" spans="1:25" x14ac:dyDescent="0.25">
      <c r="A6" s="94" t="s">
        <v>34</v>
      </c>
      <c r="B6" s="95"/>
      <c r="C6" s="96"/>
      <c r="D6" s="96"/>
      <c r="E6" s="419"/>
      <c r="F6" s="97"/>
      <c r="G6" s="97"/>
      <c r="H6" s="97"/>
      <c r="I6" s="98"/>
      <c r="J6" s="71"/>
      <c r="K6" s="71"/>
      <c r="L6" s="72"/>
      <c r="M6" s="99"/>
      <c r="N6" s="225" t="s">
        <v>109</v>
      </c>
      <c r="O6" s="101">
        <f>'[1]COMPTES NSA OK'!$S$6-'[1]COMPTES NSA OK'!$S$7</f>
        <v>378.08363914</v>
      </c>
      <c r="P6" s="101">
        <f>'[1]COMPTES NSA OK'!$T$6+'[1]COMPTES NSA OK'!$T$7</f>
        <v>523.02488589999996</v>
      </c>
      <c r="Q6" s="101">
        <f>'[1]COMPTES NSA OK'!$U$6+'[1]COMPTES NSA OK'!$U$7</f>
        <v>535.97625168000002</v>
      </c>
      <c r="R6" s="343">
        <f>'[1]COMPTES NSA OK'!$V$6+'[1]COMPTES NSA OK'!$V$7</f>
        <v>525.98483691000001</v>
      </c>
      <c r="S6" s="97">
        <f>O6/$O$5</f>
        <v>0.16148022611017349</v>
      </c>
      <c r="T6" s="97">
        <f>P6/$P$5</f>
        <v>0.21161835486725414</v>
      </c>
      <c r="U6" s="103">
        <f>Q6/$Q$5</f>
        <v>0.21473241067888496</v>
      </c>
      <c r="V6" s="104">
        <f>R6/$R$5</f>
        <v>0.20648501733439512</v>
      </c>
      <c r="W6" s="71">
        <f t="shared" si="0"/>
        <v>0.38335762713691479</v>
      </c>
      <c r="X6" s="105">
        <f t="shared" si="0"/>
        <v>2.4762427427738709E-2</v>
      </c>
      <c r="Y6" s="106">
        <f t="shared" si="0"/>
        <v>-1.8641525139746817E-2</v>
      </c>
    </row>
    <row r="7" spans="1:25" x14ac:dyDescent="0.25">
      <c r="A7" s="224" t="s">
        <v>108</v>
      </c>
      <c r="B7" s="101">
        <f>'[1]COMPTES NSA OK'!$C$7+'[1]COMPTES NSA OK'!$C$8</f>
        <v>6516.8063949600019</v>
      </c>
      <c r="C7" s="101">
        <f>'[1]COMPTES NSA OK'!$D$7+'[1]COMPTES NSA OK'!$D$8</f>
        <v>6852.1266489100008</v>
      </c>
      <c r="D7" s="101">
        <f>'[1]COMPTES NSA OK'!$E$7+'[1]COMPTES NSA OK'!$E$8</f>
        <v>6029.4717143800008</v>
      </c>
      <c r="E7" s="343">
        <f>'[1]COMPTES NSA OK'!$F$7+'[1]COMPTES NSA OK'!$F$8</f>
        <v>6153.3951836000006</v>
      </c>
      <c r="F7" s="97">
        <f t="shared" ref="F7:F11" si="1">B7/$B$5</f>
        <v>0.44123906629051235</v>
      </c>
      <c r="G7" s="97">
        <f>C7/$C$5</f>
        <v>0.45883512734780957</v>
      </c>
      <c r="H7" s="97">
        <f>D7/$D$5</f>
        <v>0.43205228607232998</v>
      </c>
      <c r="I7" s="98">
        <f>E7/$E$5</f>
        <v>0.42343619882747408</v>
      </c>
      <c r="J7" s="71">
        <f>(C7-B7)/B7</f>
        <v>5.1454690169916731E-2</v>
      </c>
      <c r="K7" s="71">
        <f t="shared" ref="K7:L11" si="2">D7/C7-1</f>
        <v>-0.12005833760542994</v>
      </c>
      <c r="L7" s="72">
        <f>E7/D7-1</f>
        <v>2.0552956393252275E-2</v>
      </c>
      <c r="M7" s="107"/>
      <c r="N7" s="100" t="s">
        <v>35</v>
      </c>
      <c r="O7" s="334">
        <v>96.720786920000009</v>
      </c>
      <c r="P7" s="334">
        <v>92.196879420000002</v>
      </c>
      <c r="Q7" s="334">
        <v>92.997496979999994</v>
      </c>
      <c r="R7" s="343">
        <v>104.52643218999999</v>
      </c>
      <c r="S7" s="97">
        <f>O7/$O$5</f>
        <v>4.1309628147152284E-2</v>
      </c>
      <c r="T7" s="97">
        <f>P7/$P$5</f>
        <v>3.730329564181642E-2</v>
      </c>
      <c r="U7" s="103">
        <f>Q7/$Q$5</f>
        <v>3.7258323761591557E-2</v>
      </c>
      <c r="V7" s="104">
        <f>R7/$R$5</f>
        <v>4.1033772550267765E-2</v>
      </c>
      <c r="W7" s="71">
        <f t="shared" si="0"/>
        <v>-4.6772856632585458E-2</v>
      </c>
      <c r="X7" s="105">
        <f t="shared" si="0"/>
        <v>8.6837815448481681E-3</v>
      </c>
      <c r="Y7" s="106">
        <f t="shared" si="0"/>
        <v>0.1239703818316682</v>
      </c>
    </row>
    <row r="8" spans="1:25" x14ac:dyDescent="0.25">
      <c r="A8" s="65" t="s">
        <v>36</v>
      </c>
      <c r="B8" s="334">
        <v>127.62297995999998</v>
      </c>
      <c r="C8" s="334">
        <v>128.30564326000001</v>
      </c>
      <c r="D8" s="334">
        <v>130.88713758999998</v>
      </c>
      <c r="E8" s="343">
        <v>133.93270525</v>
      </c>
      <c r="F8" s="97">
        <f t="shared" si="1"/>
        <v>8.6410798636452034E-3</v>
      </c>
      <c r="G8" s="97">
        <f t="shared" ref="G8:G11" si="3">C8/$C$5</f>
        <v>8.5916590835357111E-3</v>
      </c>
      <c r="H8" s="97">
        <f t="shared" ref="H8:H11" si="4">D8/$D$5</f>
        <v>9.3789455680426924E-3</v>
      </c>
      <c r="I8" s="98">
        <f t="shared" ref="I8:I11" si="5">E8/$E$5</f>
        <v>9.2163681866051627E-3</v>
      </c>
      <c r="J8" s="71">
        <f>(C8-B8)/B8</f>
        <v>5.34906252944409E-3</v>
      </c>
      <c r="K8" s="71">
        <f t="shared" si="2"/>
        <v>2.0119881436304388E-2</v>
      </c>
      <c r="L8" s="72">
        <f t="shared" si="2"/>
        <v>2.3268655087715029E-2</v>
      </c>
      <c r="M8" s="107"/>
      <c r="N8" s="100" t="s">
        <v>37</v>
      </c>
      <c r="O8" s="334">
        <v>200.63462561</v>
      </c>
      <c r="P8" s="334">
        <v>196.37986081</v>
      </c>
      <c r="Q8" s="334">
        <v>191.89949289000003</v>
      </c>
      <c r="R8" s="343">
        <v>188.12463307999997</v>
      </c>
      <c r="S8" s="97">
        <f>O8/$O$5</f>
        <v>8.5691422095723127E-2</v>
      </c>
      <c r="T8" s="97">
        <f>P8/$P$5</f>
        <v>7.9456225112810752E-2</v>
      </c>
      <c r="U8" s="103">
        <f>Q8/$Q$5</f>
        <v>7.6882213693541701E-2</v>
      </c>
      <c r="V8" s="104">
        <f>R8/$R$5</f>
        <v>7.3851783163089879E-2</v>
      </c>
      <c r="W8" s="71">
        <f t="shared" si="0"/>
        <v>-2.1206532955435842E-2</v>
      </c>
      <c r="X8" s="105">
        <f t="shared" si="0"/>
        <v>-2.2814803419861751E-2</v>
      </c>
      <c r="Y8" s="106">
        <f t="shared" si="0"/>
        <v>-1.9671025457914437E-2</v>
      </c>
    </row>
    <row r="9" spans="1:25" x14ac:dyDescent="0.25">
      <c r="A9" s="65" t="s">
        <v>38</v>
      </c>
      <c r="B9" s="334">
        <v>395.35395304999997</v>
      </c>
      <c r="C9" s="334">
        <v>383.15208672999995</v>
      </c>
      <c r="D9" s="334">
        <v>385.73411167000006</v>
      </c>
      <c r="E9" s="343">
        <v>503.27378791000001</v>
      </c>
      <c r="F9" s="97">
        <f t="shared" si="1"/>
        <v>2.6768573212940409E-2</v>
      </c>
      <c r="G9" s="97">
        <f t="shared" si="3"/>
        <v>2.5656799051766561E-2</v>
      </c>
      <c r="H9" s="97">
        <f t="shared" si="4"/>
        <v>2.7640448891340392E-2</v>
      </c>
      <c r="I9" s="98">
        <f t="shared" si="5"/>
        <v>3.4631993129594446E-2</v>
      </c>
      <c r="J9" s="71">
        <f>(C9-B9)/B9</f>
        <v>-3.0863144849994369E-2</v>
      </c>
      <c r="K9" s="71">
        <f t="shared" si="2"/>
        <v>6.7389035044447265E-3</v>
      </c>
      <c r="L9" s="72">
        <f t="shared" si="2"/>
        <v>0.30471683131969529</v>
      </c>
      <c r="M9" s="107"/>
      <c r="N9" s="100" t="s">
        <v>39</v>
      </c>
      <c r="O9" s="334">
        <v>461.33248387000003</v>
      </c>
      <c r="P9" s="334">
        <v>451.66341284999999</v>
      </c>
      <c r="Q9" s="334">
        <v>455.01889946999995</v>
      </c>
      <c r="R9" s="343">
        <v>470.07117010000002</v>
      </c>
      <c r="S9" s="97">
        <f>O9/$O$5</f>
        <v>0.19703596266885945</v>
      </c>
      <c r="T9" s="97">
        <f>P9/$P$5</f>
        <v>0.18274516367720395</v>
      </c>
      <c r="U9" s="103">
        <f>Q9/$Q$5</f>
        <v>0.18229782547526302</v>
      </c>
      <c r="V9" s="104">
        <f>R9/$R$5</f>
        <v>0.18453507952189516</v>
      </c>
      <c r="W9" s="71">
        <f t="shared" si="0"/>
        <v>-2.0959007566275556E-2</v>
      </c>
      <c r="X9" s="105">
        <f t="shared" si="0"/>
        <v>7.4291751878390322E-3</v>
      </c>
      <c r="Y9" s="106">
        <f t="shared" si="0"/>
        <v>3.3080539396347586E-2</v>
      </c>
    </row>
    <row r="10" spans="1:25" ht="12.75" customHeight="1" x14ac:dyDescent="0.25">
      <c r="A10" s="65" t="s">
        <v>40</v>
      </c>
      <c r="B10" s="334">
        <v>725.47662090999995</v>
      </c>
      <c r="C10" s="334">
        <v>727.03181296000002</v>
      </c>
      <c r="D10" s="334">
        <v>785.70349532</v>
      </c>
      <c r="E10" s="343">
        <v>1038.6704697499999</v>
      </c>
      <c r="F10" s="97">
        <f t="shared" si="1"/>
        <v>4.9120475187584438E-2</v>
      </c>
      <c r="G10" s="97">
        <f t="shared" si="3"/>
        <v>4.8683824975487837E-2</v>
      </c>
      <c r="H10" s="97">
        <f t="shared" si="4"/>
        <v>5.6300950963650516E-2</v>
      </c>
      <c r="I10" s="98">
        <f t="shared" si="5"/>
        <v>7.1474472615941878E-2</v>
      </c>
      <c r="J10" s="71">
        <f>(C10-B10)/B10</f>
        <v>2.1436832079431058E-3</v>
      </c>
      <c r="K10" s="71">
        <f t="shared" si="2"/>
        <v>8.0700295797411004E-2</v>
      </c>
      <c r="L10" s="72">
        <f t="shared" si="2"/>
        <v>0.32196238903961083</v>
      </c>
      <c r="M10" s="107"/>
      <c r="N10" s="100" t="s">
        <v>41</v>
      </c>
      <c r="O10" s="334">
        <v>1204.5903032899998</v>
      </c>
      <c r="P10" s="334">
        <v>1208.2827916799999</v>
      </c>
      <c r="Q10" s="334">
        <v>1220.1272068999999</v>
      </c>
      <c r="R10" s="343">
        <v>1258.6198170999999</v>
      </c>
      <c r="S10" s="97">
        <f>O10/$O$5</f>
        <v>0.51448276097809154</v>
      </c>
      <c r="T10" s="97">
        <f>P10/$P$5</f>
        <v>0.4888769607009148</v>
      </c>
      <c r="U10" s="103">
        <f>Q10/$Q$5</f>
        <v>0.4888292263907188</v>
      </c>
      <c r="V10" s="104">
        <f>R10/$R$5</f>
        <v>0.49409434743035219</v>
      </c>
      <c r="W10" s="71">
        <f t="shared" si="0"/>
        <v>3.0653479277684692E-3</v>
      </c>
      <c r="X10" s="105">
        <f t="shared" si="0"/>
        <v>9.8026846873582318E-3</v>
      </c>
      <c r="Y10" s="106">
        <f t="shared" si="0"/>
        <v>3.154803038758458E-2</v>
      </c>
    </row>
    <row r="11" spans="1:25" s="93" customFormat="1" ht="11.5" x14ac:dyDescent="0.25">
      <c r="A11" s="65" t="s">
        <v>42</v>
      </c>
      <c r="B11" s="334">
        <v>7004.0723537800004</v>
      </c>
      <c r="C11" s="334">
        <v>6843.1285031400002</v>
      </c>
      <c r="D11" s="334">
        <v>6623.6249304100011</v>
      </c>
      <c r="E11" s="343">
        <v>6702.7758943499994</v>
      </c>
      <c r="F11" s="97">
        <f t="shared" si="1"/>
        <v>0.47423080544531765</v>
      </c>
      <c r="G11" s="97">
        <f t="shared" si="3"/>
        <v>0.45823258954140034</v>
      </c>
      <c r="H11" s="97">
        <f t="shared" si="4"/>
        <v>0.47462736850463644</v>
      </c>
      <c r="I11" s="98">
        <f t="shared" si="5"/>
        <v>0.46124096724038433</v>
      </c>
      <c r="J11" s="71">
        <f>(C11-B11)/B11</f>
        <v>-2.297861051551545E-2</v>
      </c>
      <c r="K11" s="71">
        <f t="shared" si="2"/>
        <v>-3.2076494344549955E-2</v>
      </c>
      <c r="L11" s="72">
        <f t="shared" si="2"/>
        <v>1.1949795583473533E-2</v>
      </c>
      <c r="M11" s="99"/>
      <c r="N11" s="108"/>
      <c r="O11" s="109"/>
      <c r="P11" s="109"/>
      <c r="Q11" s="109"/>
      <c r="R11" s="425"/>
      <c r="S11" s="97"/>
      <c r="T11" s="97"/>
      <c r="U11" s="103"/>
      <c r="V11" s="104"/>
      <c r="W11" s="71"/>
      <c r="X11" s="105"/>
      <c r="Y11" s="106"/>
    </row>
    <row r="12" spans="1:25" ht="12.75" customHeight="1" x14ac:dyDescent="0.25">
      <c r="A12" s="65"/>
      <c r="B12" s="101"/>
      <c r="C12" s="101"/>
      <c r="D12" s="101"/>
      <c r="E12" s="401"/>
      <c r="F12" s="97"/>
      <c r="G12" s="97"/>
      <c r="H12" s="97"/>
      <c r="I12" s="98"/>
      <c r="J12" s="71"/>
      <c r="K12" s="71"/>
      <c r="L12" s="72"/>
      <c r="M12" s="87"/>
      <c r="N12" s="88" t="s">
        <v>43</v>
      </c>
      <c r="O12" s="81">
        <f>SUM(O13:O17)</f>
        <v>11.764406579999999</v>
      </c>
      <c r="P12" s="81">
        <f>SUM(P13:P17)</f>
        <v>43.24477461</v>
      </c>
      <c r="Q12" s="81">
        <f>SUM(Q13:Q17)</f>
        <v>89.465566660000007</v>
      </c>
      <c r="R12" s="81">
        <f>SUM(R13:R17)</f>
        <v>34.574939880000002</v>
      </c>
      <c r="S12" s="83">
        <f>O12/$O$75</f>
        <v>6.6614567440459623E-4</v>
      </c>
      <c r="T12" s="83">
        <f>P12/$P$75</f>
        <v>2.3453061695709069E-3</v>
      </c>
      <c r="U12" s="83">
        <f>Q12/$P$75</f>
        <v>4.8520115399869638E-3</v>
      </c>
      <c r="V12" s="90">
        <f>R12/$R$75</f>
        <v>2.0527660376909651E-3</v>
      </c>
      <c r="W12" s="85">
        <f t="shared" ref="W12:Y17" si="6">P12/O12-1</f>
        <v>2.6758993593028304</v>
      </c>
      <c r="X12" s="91">
        <f t="shared" si="6"/>
        <v>1.0688179662592536</v>
      </c>
      <c r="Y12" s="92">
        <f t="shared" si="6"/>
        <v>-0.6135391394613674</v>
      </c>
    </row>
    <row r="13" spans="1:25" x14ac:dyDescent="0.25">
      <c r="A13" s="80" t="s">
        <v>44</v>
      </c>
      <c r="B13" s="81">
        <f>SUM(B14:B18)</f>
        <v>1237.3113999699999</v>
      </c>
      <c r="C13" s="81">
        <f>SUM(C14:C18)</f>
        <v>1662.2335863500002</v>
      </c>
      <c r="D13" s="185">
        <f>SUM(D14:D18)</f>
        <v>490.82872564000002</v>
      </c>
      <c r="E13" s="186">
        <f>SUM(E14:E18)</f>
        <v>494.32832110999993</v>
      </c>
      <c r="F13" s="83">
        <f>B13/$B$57</f>
        <v>7.0436619661934388E-2</v>
      </c>
      <c r="G13" s="83">
        <f>C13/$C$57</f>
        <v>9.0139224116809927E-2</v>
      </c>
      <c r="H13" s="83">
        <f>D13/$D$57</f>
        <v>3.0414334517444658E-2</v>
      </c>
      <c r="I13" s="84">
        <f>E13/$E$57</f>
        <v>2.9673665505544008E-2</v>
      </c>
      <c r="J13" s="85">
        <f t="shared" ref="J13:L16" si="7">C13/B13-1</f>
        <v>0.34342380292487662</v>
      </c>
      <c r="K13" s="85">
        <f t="shared" si="7"/>
        <v>-0.70471735761411147</v>
      </c>
      <c r="L13" s="86">
        <f t="shared" si="7"/>
        <v>7.1299728137075302E-3</v>
      </c>
      <c r="M13" s="99"/>
      <c r="N13" s="100" t="str">
        <f>N6</f>
        <v>Cotisations "Maladie" + IJ AMEXA</v>
      </c>
      <c r="O13" s="101">
        <f>'[1]COMPTES NSA OK'!$S$14+'[1]COMPTES NSA OK'!$S$15</f>
        <v>9.54966984</v>
      </c>
      <c r="P13" s="101">
        <f>'[1]COMPTES NSA OK'!$T$14+'[1]COMPTES NSA OK'!$T$15</f>
        <v>20.486078039999999</v>
      </c>
      <c r="Q13" s="101">
        <f>'[1]COMPTES NSA OK'!$U$14+'[1]COMPTES NSA OK'!$U$15</f>
        <v>34.698182639999999</v>
      </c>
      <c r="R13" s="343">
        <f>'[1]COMPTES NSA OK'!$V$14+'[1]COMPTES NSA OK'!$V$15</f>
        <v>17.045271930000002</v>
      </c>
      <c r="S13" s="97">
        <f>O13/$O$12</f>
        <v>0.81174258769965091</v>
      </c>
      <c r="T13" s="97">
        <f>P13/$P$12</f>
        <v>0.47372377876292043</v>
      </c>
      <c r="U13" s="103">
        <f>Q13/$Q$12</f>
        <v>0.38783840459944835</v>
      </c>
      <c r="V13" s="104">
        <f>R13/$R$12</f>
        <v>0.49299498391492214</v>
      </c>
      <c r="W13" s="71">
        <f t="shared" si="6"/>
        <v>1.1452132255076997</v>
      </c>
      <c r="X13" s="105">
        <f t="shared" si="6"/>
        <v>0.69374453090778143</v>
      </c>
      <c r="Y13" s="106">
        <f t="shared" si="6"/>
        <v>-0.5087560606027175</v>
      </c>
    </row>
    <row r="14" spans="1:25" ht="12.75" customHeight="1" x14ac:dyDescent="0.25">
      <c r="A14" s="65" t="str">
        <f>A7</f>
        <v>"Maladie-Maternité-Invalidité" + IJ AMEXA</v>
      </c>
      <c r="B14" s="334">
        <f>'[1]COMPTES NSA OK'!$C$15+'[1]COMPTES NSA OK'!$C$16</f>
        <v>1234.13989627</v>
      </c>
      <c r="C14" s="334">
        <f>'[1]COMPTES NSA OK'!$D$15+'[1]COMPTES NSA OK'!$D$16</f>
        <v>1657.8487962000002</v>
      </c>
      <c r="D14" s="334">
        <f>'[1]COMPTES NSA OK'!$E$15+'[1]COMPTES NSA OK'!$E$16</f>
        <v>477.99347564000004</v>
      </c>
      <c r="E14" s="343">
        <f>'[1]COMPTES NSA OK'!$F$15+'[1]COMPTES NSA OK'!$F$16</f>
        <v>484.39312775999997</v>
      </c>
      <c r="F14" s="97">
        <f>B14/$B$13</f>
        <v>0.99743677808183384</v>
      </c>
      <c r="G14" s="97">
        <f>C14/$C$13</f>
        <v>0.99736210952178606</v>
      </c>
      <c r="H14" s="97">
        <f>D14/$D$13</f>
        <v>0.97384983940525516</v>
      </c>
      <c r="I14" s="98">
        <f>E14/$E$13</f>
        <v>0.97990163030171773</v>
      </c>
      <c r="J14" s="71">
        <f t="shared" si="7"/>
        <v>0.34332323362253803</v>
      </c>
      <c r="K14" s="71">
        <f t="shared" si="7"/>
        <v>-0.71167848555572633</v>
      </c>
      <c r="L14" s="72">
        <f t="shared" si="7"/>
        <v>1.338857630102841E-2</v>
      </c>
      <c r="M14" s="99"/>
      <c r="N14" s="100" t="s">
        <v>35</v>
      </c>
      <c r="O14" s="334">
        <v>0.53317502000000006</v>
      </c>
      <c r="P14" s="334">
        <v>1.20775995</v>
      </c>
      <c r="Q14" s="334">
        <v>4.3971344200000004</v>
      </c>
      <c r="R14" s="343">
        <v>1.6763125900000002</v>
      </c>
      <c r="S14" s="97">
        <f>O14/$O$12</f>
        <v>4.5321029698720261E-2</v>
      </c>
      <c r="T14" s="97">
        <f>P14/$P$12</f>
        <v>2.792845981721721E-2</v>
      </c>
      <c r="U14" s="103">
        <f>Q14/$Q$12</f>
        <v>4.9148902579588268E-2</v>
      </c>
      <c r="V14" s="104">
        <f>R14/$R$12</f>
        <v>4.8483456394082386E-2</v>
      </c>
      <c r="W14" s="71">
        <f t="shared" si="6"/>
        <v>1.2652223091772004</v>
      </c>
      <c r="X14" s="105">
        <f t="shared" si="6"/>
        <v>2.6407354126952134</v>
      </c>
      <c r="Y14" s="106">
        <f t="shared" si="6"/>
        <v>-0.61877158397172671</v>
      </c>
    </row>
    <row r="15" spans="1:25" x14ac:dyDescent="0.25">
      <c r="A15" s="65" t="s">
        <v>36</v>
      </c>
      <c r="B15" s="334">
        <v>2.9048690600000002</v>
      </c>
      <c r="C15" s="334">
        <v>4.1213248499999997</v>
      </c>
      <c r="D15" s="334">
        <v>3.5302493899999998</v>
      </c>
      <c r="E15" s="343">
        <v>5.83903588</v>
      </c>
      <c r="F15" s="97">
        <f>B15/$B$13</f>
        <v>2.347726740471665E-3</v>
      </c>
      <c r="G15" s="97">
        <f>C15/$C$13</f>
        <v>2.4793897102330675E-3</v>
      </c>
      <c r="H15" s="97">
        <f>D15/$D$13</f>
        <v>7.1924262081377709E-3</v>
      </c>
      <c r="I15" s="98">
        <f>E15/$E$13</f>
        <v>1.1812060184795024E-2</v>
      </c>
      <c r="J15" s="71">
        <f t="shared" si="7"/>
        <v>0.41876441411786014</v>
      </c>
      <c r="K15" s="71">
        <f t="shared" si="7"/>
        <v>-0.14341879893306642</v>
      </c>
      <c r="L15" s="72">
        <f t="shared" si="7"/>
        <v>0.65400095997183927</v>
      </c>
      <c r="M15" s="99"/>
      <c r="N15" s="100" t="s">
        <v>37</v>
      </c>
      <c r="O15" s="334">
        <v>0</v>
      </c>
      <c r="P15" s="334">
        <v>0</v>
      </c>
      <c r="Q15" s="334">
        <v>0</v>
      </c>
      <c r="R15" s="343">
        <v>0</v>
      </c>
      <c r="S15" s="97">
        <f>O15/$O$12</f>
        <v>0</v>
      </c>
      <c r="T15" s="97">
        <f>P15/$P$12</f>
        <v>0</v>
      </c>
      <c r="U15" s="103">
        <f>Q15/$Q$12</f>
        <v>0</v>
      </c>
      <c r="V15" s="104">
        <f>R15/$R$12</f>
        <v>0</v>
      </c>
      <c r="W15" s="71" t="e">
        <f t="shared" si="6"/>
        <v>#DIV/0!</v>
      </c>
      <c r="X15" s="105" t="e">
        <f t="shared" si="6"/>
        <v>#DIV/0!</v>
      </c>
      <c r="Y15" s="106" t="e">
        <f t="shared" si="6"/>
        <v>#DIV/0!</v>
      </c>
    </row>
    <row r="16" spans="1:25" ht="12.75" customHeight="1" x14ac:dyDescent="0.25">
      <c r="A16" s="65" t="s">
        <v>38</v>
      </c>
      <c r="B16" s="334">
        <v>0.26663463999999998</v>
      </c>
      <c r="C16" s="334">
        <v>0.26346530000000001</v>
      </c>
      <c r="D16" s="334">
        <v>0.26775461</v>
      </c>
      <c r="E16" s="343">
        <v>0.26440946999999998</v>
      </c>
      <c r="F16" s="97">
        <f>B16/$B$13</f>
        <v>2.1549517769452772E-4</v>
      </c>
      <c r="G16" s="97">
        <f>C16/$C$13</f>
        <v>1.585007679808274E-4</v>
      </c>
      <c r="H16" s="97">
        <f>D16/$D$13</f>
        <v>5.4551536210695531E-4</v>
      </c>
      <c r="I16" s="98">
        <f>E16/$E$13</f>
        <v>5.3488634720801791E-4</v>
      </c>
      <c r="J16" s="71">
        <f t="shared" si="7"/>
        <v>-1.1886452562952732E-2</v>
      </c>
      <c r="K16" s="71">
        <f t="shared" si="7"/>
        <v>1.6280360259965931E-2</v>
      </c>
      <c r="L16" s="72">
        <f t="shared" si="7"/>
        <v>-1.249330497054757E-2</v>
      </c>
      <c r="M16" s="112"/>
      <c r="N16" s="100" t="s">
        <v>39</v>
      </c>
      <c r="O16" s="334">
        <v>0</v>
      </c>
      <c r="P16" s="334">
        <v>6.8059845399999999</v>
      </c>
      <c r="Q16" s="334">
        <v>6.7770220200000004</v>
      </c>
      <c r="R16" s="343">
        <v>1.65263761</v>
      </c>
      <c r="S16" s="97">
        <f>O16/$O$5</f>
        <v>0</v>
      </c>
      <c r="T16" s="97">
        <f>P16/$P$5</f>
        <v>2.7537336949625354E-3</v>
      </c>
      <c r="U16" s="103">
        <f>Q16/$Q$5</f>
        <v>2.7151320063474168E-3</v>
      </c>
      <c r="V16" s="104">
        <f>R16/$R$5</f>
        <v>6.4877327558154094E-4</v>
      </c>
      <c r="W16" s="71" t="e">
        <f t="shared" si="6"/>
        <v>#DIV/0!</v>
      </c>
      <c r="X16" s="105">
        <f t="shared" si="6"/>
        <v>-4.2554489846078347E-3</v>
      </c>
      <c r="Y16" s="106">
        <f t="shared" si="6"/>
        <v>-0.75614102992098586</v>
      </c>
    </row>
    <row r="17" spans="1:25" s="93" customFormat="1" ht="11.5" x14ac:dyDescent="0.25">
      <c r="A17" s="65" t="s">
        <v>40</v>
      </c>
      <c r="B17" s="334">
        <v>0</v>
      </c>
      <c r="C17" s="334">
        <v>0</v>
      </c>
      <c r="D17" s="334">
        <v>0</v>
      </c>
      <c r="E17" s="343">
        <v>0</v>
      </c>
      <c r="F17" s="97">
        <f>B17/$B$5</f>
        <v>0</v>
      </c>
      <c r="G17" s="97">
        <f>C17/$B$5</f>
        <v>0</v>
      </c>
      <c r="H17" s="97">
        <f>D17/$B$5</f>
        <v>0</v>
      </c>
      <c r="I17" s="98">
        <f>E17/$B$5</f>
        <v>0</v>
      </c>
      <c r="J17" s="71" t="e">
        <f>(C17-B17)/B17</f>
        <v>#DIV/0!</v>
      </c>
      <c r="K17" s="71" t="e">
        <f>D17/C17-1</f>
        <v>#DIV/0!</v>
      </c>
      <c r="L17" s="72" t="e">
        <f>E17/D17-1</f>
        <v>#DIV/0!</v>
      </c>
      <c r="M17" s="99"/>
      <c r="N17" s="100" t="s">
        <v>41</v>
      </c>
      <c r="O17" s="334">
        <v>1.6815617199999999</v>
      </c>
      <c r="P17" s="334">
        <v>14.744952079999999</v>
      </c>
      <c r="Q17" s="334">
        <v>43.593227579999997</v>
      </c>
      <c r="R17" s="343">
        <v>14.200717750000001</v>
      </c>
      <c r="S17" s="97">
        <f>O17/$O$12</f>
        <v>0.14293638260162886</v>
      </c>
      <c r="T17" s="97">
        <f>P17/$P$12</f>
        <v>0.34096494230751173</v>
      </c>
      <c r="U17" s="103">
        <f>Q17/$Q$12</f>
        <v>0.48726263307166306</v>
      </c>
      <c r="V17" s="104">
        <f>R17/$R$12</f>
        <v>0.41072284722075414</v>
      </c>
      <c r="W17" s="71">
        <f t="shared" si="6"/>
        <v>7.7686059361532092</v>
      </c>
      <c r="X17" s="105">
        <f t="shared" si="6"/>
        <v>1.9564848595967765</v>
      </c>
      <c r="Y17" s="106">
        <f t="shared" si="6"/>
        <v>-0.67424486466528344</v>
      </c>
    </row>
    <row r="18" spans="1:25" s="114" customFormat="1" ht="11.5" x14ac:dyDescent="0.25">
      <c r="A18" s="65" t="s">
        <v>42</v>
      </c>
      <c r="B18" s="334">
        <v>0</v>
      </c>
      <c r="C18" s="334">
        <v>0</v>
      </c>
      <c r="D18" s="334">
        <v>9.0372459999999997</v>
      </c>
      <c r="E18" s="343">
        <v>3.8317480000000002</v>
      </c>
      <c r="F18" s="97">
        <f>B18/$B$13</f>
        <v>0</v>
      </c>
      <c r="G18" s="97">
        <f>C18/$C$13</f>
        <v>0</v>
      </c>
      <c r="H18" s="97">
        <f>D18/$D$13</f>
        <v>1.8412219024500204E-2</v>
      </c>
      <c r="I18" s="98">
        <f>E18/$E$13</f>
        <v>7.7514231662792876E-3</v>
      </c>
      <c r="J18" s="71" t="e">
        <f>C18/B18-1</f>
        <v>#DIV/0!</v>
      </c>
      <c r="K18" s="71" t="e">
        <f>D18/C18-1</f>
        <v>#DIV/0!</v>
      </c>
      <c r="L18" s="72">
        <f>E18/D18-1</f>
        <v>-0.57600490237844582</v>
      </c>
      <c r="M18" s="112"/>
      <c r="N18" s="113"/>
      <c r="O18" s="111"/>
      <c r="P18" s="111"/>
      <c r="Q18" s="111"/>
      <c r="R18" s="420"/>
      <c r="S18" s="97"/>
      <c r="T18" s="97"/>
      <c r="U18" s="103"/>
      <c r="V18" s="104"/>
      <c r="W18" s="71"/>
      <c r="X18" s="105"/>
      <c r="Y18" s="106"/>
    </row>
    <row r="19" spans="1:25" s="114" customFormat="1" ht="11.5" x14ac:dyDescent="0.25">
      <c r="A19" s="65"/>
      <c r="B19" s="334"/>
      <c r="C19" s="334"/>
      <c r="D19" s="334"/>
      <c r="E19" s="401"/>
      <c r="F19" s="97"/>
      <c r="G19" s="97"/>
      <c r="H19" s="97"/>
      <c r="I19" s="98"/>
      <c r="J19" s="71"/>
      <c r="K19" s="71"/>
      <c r="L19" s="72"/>
      <c r="M19" s="99"/>
      <c r="N19" s="88" t="s">
        <v>26</v>
      </c>
      <c r="O19" s="81">
        <f t="shared" ref="O19:Q19" si="8">SUM(O20:O24)</f>
        <v>576.43750490000002</v>
      </c>
      <c r="P19" s="81">
        <f t="shared" si="8"/>
        <v>583.74474866000003</v>
      </c>
      <c r="Q19" s="81">
        <f t="shared" si="8"/>
        <v>423.79147576000003</v>
      </c>
      <c r="R19" s="81">
        <f>SUM(R20:R24)</f>
        <v>438.55704474999999</v>
      </c>
      <c r="S19" s="83">
        <f>O19/$O$75</f>
        <v>3.2640095175434959E-2</v>
      </c>
      <c r="T19" s="83">
        <f>P19/$P$75</f>
        <v>3.1658395097065264E-2</v>
      </c>
      <c r="U19" s="83">
        <f>Q19/$P$75</f>
        <v>2.2983603722648412E-2</v>
      </c>
      <c r="V19" s="90">
        <f>R19/$R$75</f>
        <v>2.6037789513950031E-2</v>
      </c>
      <c r="W19" s="85">
        <f t="shared" ref="W19:Y24" si="9">P19/O19-1</f>
        <v>1.2676558513082359E-2</v>
      </c>
      <c r="X19" s="91">
        <f t="shared" si="9"/>
        <v>-0.27401235431612281</v>
      </c>
      <c r="Y19" s="92">
        <f t="shared" si="9"/>
        <v>3.4841590344686368E-2</v>
      </c>
    </row>
    <row r="20" spans="1:25" s="117" customFormat="1" ht="12.75" customHeight="1" x14ac:dyDescent="0.25">
      <c r="A20" s="80" t="s">
        <v>45</v>
      </c>
      <c r="B20" s="186">
        <f t="shared" ref="B20:C20" si="10">SUM(B21:B26)</f>
        <v>64.437422339999998</v>
      </c>
      <c r="C20" s="186">
        <f t="shared" si="10"/>
        <v>62.380164309999998</v>
      </c>
      <c r="D20" s="186">
        <f>SUM(D21:D26)</f>
        <v>53.557829959999992</v>
      </c>
      <c r="E20" s="186">
        <f>SUM(E21:E25)</f>
        <v>55.568633640000002</v>
      </c>
      <c r="F20" s="83">
        <f>B20/$B$57</f>
        <v>3.6682392237459877E-3</v>
      </c>
      <c r="G20" s="83">
        <f>C20/$C$57</f>
        <v>3.382737334485888E-3</v>
      </c>
      <c r="H20" s="83">
        <f>D20/$D$57</f>
        <v>3.3187253951118593E-3</v>
      </c>
      <c r="I20" s="84">
        <f>E20/$E$57</f>
        <v>3.3356879968577703E-3</v>
      </c>
      <c r="J20" s="85">
        <f t="shared" ref="J20:L23" si="11">C20/B20-1</f>
        <v>-3.1926448254633866E-2</v>
      </c>
      <c r="K20" s="85">
        <f t="shared" si="11"/>
        <v>-0.14142852054953181</v>
      </c>
      <c r="L20" s="86">
        <f t="shared" si="11"/>
        <v>3.7544532358793958E-2</v>
      </c>
      <c r="M20" s="116"/>
      <c r="N20" s="100" t="str">
        <f>N13</f>
        <v>Cotisations "Maladie" + IJ AMEXA</v>
      </c>
      <c r="O20" s="101">
        <f>'[1]COMPTES NSA OK'!$S$22+'[1]COMPTES NSA OK'!$S$23</f>
        <v>576.43750490000002</v>
      </c>
      <c r="P20" s="101">
        <f>'[1]COMPTES NSA OK'!$T$22+'[1]COMPTES NSA OK'!$T$23</f>
        <v>583.74474866000003</v>
      </c>
      <c r="Q20" s="101">
        <f>'[1]COMPTES NSA OK'!$U$22+'[1]COMPTES NSA OK'!$U$23</f>
        <v>423.79147576000003</v>
      </c>
      <c r="R20" s="343">
        <f>'[1]COMPTES NSA OK'!$V$22+'[1]COMPTES NSA OK'!$V$23</f>
        <v>438.55704474999999</v>
      </c>
      <c r="S20" s="97"/>
      <c r="T20" s="97"/>
      <c r="U20" s="103"/>
      <c r="V20" s="104"/>
      <c r="W20" s="71">
        <f t="shared" si="9"/>
        <v>1.2676558513082359E-2</v>
      </c>
      <c r="X20" s="105">
        <f t="shared" si="9"/>
        <v>-0.27401235431612281</v>
      </c>
      <c r="Y20" s="106">
        <f t="shared" si="9"/>
        <v>3.4841590344686368E-2</v>
      </c>
    </row>
    <row r="21" spans="1:25" s="93" customFormat="1" ht="11.5" x14ac:dyDescent="0.25">
      <c r="A21" s="65" t="str">
        <f>A14</f>
        <v>"Maladie-Maternité-Invalidité" + IJ AMEXA</v>
      </c>
      <c r="B21" s="335">
        <f>'[1]COMPTES NSA OK'!$C$23+'[1]COMPTES NSA OK'!$C$24</f>
        <v>21.638536319999996</v>
      </c>
      <c r="C21" s="335">
        <f>'[1]COMPTES NSA OK'!$D$23+'[1]COMPTES NSA OK'!$D$24</f>
        <v>20.152976629999998</v>
      </c>
      <c r="D21" s="335">
        <f>'[1]COMPTES NSA OK'!$E$23+'[1]COMPTES NSA OK'!$E$24</f>
        <v>17.718937439999998</v>
      </c>
      <c r="E21" s="343">
        <f>'[1]COMPTES NSA OK'!$F$23+'[1]COMPTES NSA OK'!$F$24</f>
        <v>17.791087240000003</v>
      </c>
      <c r="F21" s="97">
        <f>B21/$B$20</f>
        <v>0.33580698194017794</v>
      </c>
      <c r="G21" s="97">
        <f>C21/$C$20</f>
        <v>0.32306706551539699</v>
      </c>
      <c r="H21" s="97">
        <f>D21/$D$20</f>
        <v>0.33083747891267251</v>
      </c>
      <c r="I21" s="98">
        <f>E21/$E$20</f>
        <v>0.32016420189956651</v>
      </c>
      <c r="J21" s="71">
        <f t="shared" si="11"/>
        <v>-6.8653427756429686E-2</v>
      </c>
      <c r="K21" s="71">
        <f t="shared" si="11"/>
        <v>-0.12077814779860641</v>
      </c>
      <c r="L21" s="72">
        <f>E21/D21-1</f>
        <v>4.0719033093445933E-3</v>
      </c>
      <c r="M21" s="99"/>
      <c r="N21" s="100" t="s">
        <v>35</v>
      </c>
      <c r="O21" s="101">
        <v>0</v>
      </c>
      <c r="P21" s="101">
        <v>0</v>
      </c>
      <c r="Q21" s="101">
        <f>'[2]COMPTES NSA ok'!$R$24</f>
        <v>0</v>
      </c>
      <c r="R21" s="343">
        <f>'[2]COMPTES NSA ok'!$R$24</f>
        <v>0</v>
      </c>
      <c r="S21" s="97"/>
      <c r="T21" s="97"/>
      <c r="U21" s="103"/>
      <c r="V21" s="104"/>
      <c r="W21" s="71" t="e">
        <f t="shared" si="9"/>
        <v>#DIV/0!</v>
      </c>
      <c r="X21" s="105" t="e">
        <f t="shared" si="9"/>
        <v>#DIV/0!</v>
      </c>
      <c r="Y21" s="106" t="e">
        <f t="shared" si="9"/>
        <v>#DIV/0!</v>
      </c>
    </row>
    <row r="22" spans="1:25" s="114" customFormat="1" ht="11.5" x14ac:dyDescent="0.25">
      <c r="A22" s="65" t="s">
        <v>36</v>
      </c>
      <c r="B22" s="335">
        <v>3.1236379899999998</v>
      </c>
      <c r="C22" s="335">
        <v>3.5567969700000002</v>
      </c>
      <c r="D22" s="335">
        <v>1.6991908200000001</v>
      </c>
      <c r="E22" s="343">
        <v>1.6620202999999998</v>
      </c>
      <c r="F22" s="97">
        <f>B22/$B$20</f>
        <v>4.8475526744665869E-2</v>
      </c>
      <c r="G22" s="97">
        <f>C22/$C$20</f>
        <v>5.7018076328308416E-2</v>
      </c>
      <c r="H22" s="97">
        <f>D22/$D$20</f>
        <v>3.1726282063127866E-2</v>
      </c>
      <c r="I22" s="98">
        <f>E22/$E$20</f>
        <v>2.9909324579894415E-2</v>
      </c>
      <c r="J22" s="71">
        <f t="shared" si="11"/>
        <v>0.13867131254860943</v>
      </c>
      <c r="K22" s="71">
        <f t="shared" si="11"/>
        <v>-0.52226938047577121</v>
      </c>
      <c r="L22" s="72">
        <f>E22/D22-1</f>
        <v>-2.1875424209271799E-2</v>
      </c>
      <c r="M22" s="112"/>
      <c r="N22" s="100" t="s">
        <v>37</v>
      </c>
      <c r="O22" s="101">
        <v>0</v>
      </c>
      <c r="P22" s="101">
        <v>0</v>
      </c>
      <c r="Q22" s="101">
        <f>'[2]COMPTES NSA ok'!$R$25</f>
        <v>0</v>
      </c>
      <c r="R22" s="343">
        <f>'[2]COMPTES NSA ok'!$R$25</f>
        <v>0</v>
      </c>
      <c r="S22" s="97"/>
      <c r="T22" s="97"/>
      <c r="U22" s="103"/>
      <c r="V22" s="104"/>
      <c r="W22" s="71" t="e">
        <f t="shared" si="9"/>
        <v>#DIV/0!</v>
      </c>
      <c r="X22" s="105" t="e">
        <f t="shared" si="9"/>
        <v>#DIV/0!</v>
      </c>
      <c r="Y22" s="106" t="e">
        <f t="shared" si="9"/>
        <v>#DIV/0!</v>
      </c>
    </row>
    <row r="23" spans="1:25" s="114" customFormat="1" ht="11.5" x14ac:dyDescent="0.25">
      <c r="A23" s="65" t="s">
        <v>38</v>
      </c>
      <c r="B23" s="335">
        <v>5.3424483599999988</v>
      </c>
      <c r="C23" s="335">
        <v>5.2474738799999994</v>
      </c>
      <c r="D23" s="335">
        <v>3.9343283000000002</v>
      </c>
      <c r="E23" s="343">
        <v>4.5499611099999999</v>
      </c>
      <c r="F23" s="97">
        <f>B23/$B$20</f>
        <v>8.2909094839500361E-2</v>
      </c>
      <c r="G23" s="97">
        <f>C23/$C$20</f>
        <v>8.4120873005760752E-2</v>
      </c>
      <c r="H23" s="97">
        <f>D23/$D$20</f>
        <v>7.3459441932923322E-2</v>
      </c>
      <c r="I23" s="98">
        <f>E23/$E$20</f>
        <v>8.188002497014428E-2</v>
      </c>
      <c r="J23" s="71">
        <f t="shared" si="11"/>
        <v>-1.7777332339062535E-2</v>
      </c>
      <c r="K23" s="71">
        <f t="shared" si="11"/>
        <v>-0.25024337615187886</v>
      </c>
      <c r="L23" s="72">
        <f>E23/D23-1</f>
        <v>0.15647723399188607</v>
      </c>
      <c r="M23" s="99"/>
      <c r="N23" s="100" t="s">
        <v>39</v>
      </c>
      <c r="O23" s="101">
        <v>0</v>
      </c>
      <c r="P23" s="101">
        <v>0</v>
      </c>
      <c r="Q23" s="101">
        <f>'[2]COMPTES NSA ok'!$R$26</f>
        <v>0</v>
      </c>
      <c r="R23" s="343">
        <f>'[2]COMPTES NSA ok'!$R$26</f>
        <v>0</v>
      </c>
      <c r="S23" s="97">
        <f>O23/$O$5</f>
        <v>0</v>
      </c>
      <c r="T23" s="97">
        <f>P23/$P$5</f>
        <v>0</v>
      </c>
      <c r="U23" s="103">
        <f>Q23/$Q$5</f>
        <v>0</v>
      </c>
      <c r="V23" s="104">
        <f>R23/$R$5</f>
        <v>0</v>
      </c>
      <c r="W23" s="71" t="e">
        <f t="shared" si="9"/>
        <v>#DIV/0!</v>
      </c>
      <c r="X23" s="105" t="e">
        <f t="shared" si="9"/>
        <v>#DIV/0!</v>
      </c>
      <c r="Y23" s="106" t="e">
        <f t="shared" si="9"/>
        <v>#DIV/0!</v>
      </c>
    </row>
    <row r="24" spans="1:25" s="114" customFormat="1" ht="11.5" x14ac:dyDescent="0.25">
      <c r="A24" s="65" t="s">
        <v>40</v>
      </c>
      <c r="B24" s="334">
        <v>5.2225019100000001</v>
      </c>
      <c r="C24" s="334">
        <v>4.96316443</v>
      </c>
      <c r="D24" s="334">
        <v>4.5647421799999996</v>
      </c>
      <c r="E24" s="343">
        <v>6.5194643499999998</v>
      </c>
      <c r="F24" s="97">
        <f>B24/$B$5</f>
        <v>3.5360446924600727E-4</v>
      </c>
      <c r="G24" s="97">
        <f>C24/$B$5</f>
        <v>3.36045281417774E-4</v>
      </c>
      <c r="H24" s="97">
        <f>D24/$B$5</f>
        <v>3.0906896036037295E-4</v>
      </c>
      <c r="I24" s="98">
        <f>E24/$B$5</f>
        <v>4.4141903075915116E-4</v>
      </c>
      <c r="J24" s="71">
        <f>(C24-B24)/B24</f>
        <v>-4.96577089810964E-2</v>
      </c>
      <c r="K24" s="71">
        <f>D24/C24-1</f>
        <v>-8.0275851348330263E-2</v>
      </c>
      <c r="L24" s="72">
        <f>E24/D24-1</f>
        <v>0.42822181251866454</v>
      </c>
      <c r="M24" s="99"/>
      <c r="N24" s="100" t="s">
        <v>41</v>
      </c>
      <c r="O24" s="101">
        <v>0</v>
      </c>
      <c r="P24" s="101">
        <v>0</v>
      </c>
      <c r="Q24" s="101">
        <f>'[2]COMPTES NSA ok'!$R$27</f>
        <v>0</v>
      </c>
      <c r="R24" s="343">
        <f>'[2]COMPTES NSA ok'!$R$27</f>
        <v>0</v>
      </c>
      <c r="S24" s="97"/>
      <c r="T24" s="97"/>
      <c r="U24" s="103"/>
      <c r="V24" s="104"/>
      <c r="W24" s="71" t="e">
        <f t="shared" si="9"/>
        <v>#DIV/0!</v>
      </c>
      <c r="X24" s="105" t="e">
        <f t="shared" si="9"/>
        <v>#DIV/0!</v>
      </c>
      <c r="Y24" s="106" t="e">
        <f t="shared" si="9"/>
        <v>#DIV/0!</v>
      </c>
    </row>
    <row r="25" spans="1:25" s="117" customFormat="1" ht="12.75" customHeight="1" x14ac:dyDescent="0.25">
      <c r="A25" s="65" t="s">
        <v>42</v>
      </c>
      <c r="B25" s="335">
        <v>29.110297759999998</v>
      </c>
      <c r="C25" s="335">
        <v>28.459752400000003</v>
      </c>
      <c r="D25" s="335">
        <v>25.64063122</v>
      </c>
      <c r="E25" s="343">
        <v>25.046100639999999</v>
      </c>
      <c r="F25" s="97">
        <f>B25/$B$20</f>
        <v>0.45176074248285952</v>
      </c>
      <c r="G25" s="97">
        <f>C25/$C$20</f>
        <v>0.4562308021275554</v>
      </c>
      <c r="H25" s="97">
        <f>D25/$D$20</f>
        <v>0.47874664151161217</v>
      </c>
      <c r="I25" s="98">
        <f>E25/$E$20</f>
        <v>0.45072370867098394</v>
      </c>
      <c r="J25" s="71">
        <f>C25/B25-1</f>
        <v>-2.2347602397042476E-2</v>
      </c>
      <c r="K25" s="71">
        <f>D25/C25-1</f>
        <v>-9.9056419759997794E-2</v>
      </c>
      <c r="L25" s="72">
        <f>E25/D25-1</f>
        <v>-2.3187049292930806E-2</v>
      </c>
      <c r="M25" s="99"/>
      <c r="N25" s="100"/>
      <c r="O25" s="101"/>
      <c r="P25" s="101"/>
      <c r="Q25" s="101"/>
      <c r="R25" s="401"/>
      <c r="S25" s="97"/>
      <c r="T25" s="97"/>
      <c r="U25" s="103"/>
      <c r="V25" s="104"/>
      <c r="W25" s="71"/>
      <c r="X25" s="105"/>
      <c r="Y25" s="106"/>
    </row>
    <row r="26" spans="1:25" s="93" customFormat="1" ht="11.5" x14ac:dyDescent="0.25">
      <c r="A26" s="65"/>
      <c r="B26" s="335"/>
      <c r="C26" s="335"/>
      <c r="D26" s="335"/>
      <c r="E26" s="420"/>
      <c r="F26" s="97"/>
      <c r="G26" s="97"/>
      <c r="H26" s="97"/>
      <c r="I26" s="98"/>
      <c r="J26" s="71"/>
      <c r="K26" s="71"/>
      <c r="L26" s="72"/>
      <c r="M26" s="99"/>
      <c r="N26" s="88" t="s">
        <v>24</v>
      </c>
      <c r="O26" s="185">
        <f t="shared" ref="O26:Q26" si="12">SUM(O27:O31)</f>
        <v>4758.4765708699997</v>
      </c>
      <c r="P26" s="185">
        <f t="shared" si="12"/>
        <v>4518.6426259899999</v>
      </c>
      <c r="Q26" s="185">
        <f t="shared" si="12"/>
        <v>4749.6925377699999</v>
      </c>
      <c r="R26" s="185">
        <f>SUM(R27:R31)</f>
        <v>4868.3526247</v>
      </c>
      <c r="S26" s="83">
        <f>O26/$O$75</f>
        <v>0.26944313449940854</v>
      </c>
      <c r="T26" s="83">
        <f>P26/$P$75</f>
        <v>0.24506083161247008</v>
      </c>
      <c r="U26" s="83">
        <f>Q26/$P$75</f>
        <v>0.25759142723849382</v>
      </c>
      <c r="V26" s="90">
        <f>R26/$R$75</f>
        <v>0.28904139709780541</v>
      </c>
      <c r="W26" s="85">
        <f t="shared" ref="W26:Y31" si="13">P26/O26-1</f>
        <v>-5.04014134162587E-2</v>
      </c>
      <c r="X26" s="91">
        <f t="shared" si="13"/>
        <v>5.113259244071755E-2</v>
      </c>
      <c r="Y26" s="92">
        <f t="shared" si="13"/>
        <v>2.4982688034310474E-2</v>
      </c>
    </row>
    <row r="27" spans="1:25" s="93" customFormat="1" ht="12.75" customHeight="1" x14ac:dyDescent="0.25">
      <c r="A27" s="80" t="s">
        <v>46</v>
      </c>
      <c r="B27" s="186">
        <f>B13+B20</f>
        <v>1301.7488223099999</v>
      </c>
      <c r="C27" s="186">
        <f>C13+C20</f>
        <v>1724.6137506600003</v>
      </c>
      <c r="D27" s="186">
        <f>D13+D20</f>
        <v>544.38655560000007</v>
      </c>
      <c r="E27" s="186">
        <f>E20+E13</f>
        <v>549.89695474999996</v>
      </c>
      <c r="F27" s="83">
        <f>B27/$B$57</f>
        <v>7.4104858885680372E-2</v>
      </c>
      <c r="G27" s="83">
        <f>C27/$C$57</f>
        <v>9.3521961451295821E-2</v>
      </c>
      <c r="H27" s="83">
        <f>D27/$D$57</f>
        <v>3.3733059912556519E-2</v>
      </c>
      <c r="I27" s="84">
        <f>E27/$E$57</f>
        <v>3.3009353502401778E-2</v>
      </c>
      <c r="J27" s="85">
        <f>C27/B27-1</f>
        <v>0.32484371877487961</v>
      </c>
      <c r="K27" s="85">
        <f>D27/C27-1</f>
        <v>-0.68434291133787706</v>
      </c>
      <c r="L27" s="86">
        <f>E27/D27-1</f>
        <v>1.0122217555366575E-2</v>
      </c>
      <c r="M27" s="99"/>
      <c r="N27" s="100" t="str">
        <f>N20</f>
        <v>Cotisations "Maladie" + IJ AMEXA</v>
      </c>
      <c r="O27" s="101">
        <f>'[1]COMPTES NSA OK'!$S$30+'[1]COMPTES NSA OK'!$S$31</f>
        <v>1591.1726230099998</v>
      </c>
      <c r="P27" s="101">
        <f>'[1]COMPTES NSA OK'!$T$30+'[1]COMPTES NSA OK'!$T$31</f>
        <v>1421.47587593</v>
      </c>
      <c r="Q27" s="101">
        <f>'[1]COMPTES NSA OK'!$U$30+'[1]COMPTES NSA OK'!$U$31</f>
        <v>1522.8341223000002</v>
      </c>
      <c r="R27" s="426">
        <f>'[1]COMPTES NSA OK'!$V$30+'[1]COMPTES NSA OK'!$V$31</f>
        <v>1558.7126166600001</v>
      </c>
      <c r="S27" s="97">
        <f>O27/$O$26</f>
        <v>0.33438698274794348</v>
      </c>
      <c r="T27" s="97">
        <f>P27/$P$26</f>
        <v>0.31458028297127516</v>
      </c>
      <c r="U27" s="103">
        <f>Q27/$Q$26</f>
        <v>0.32061741053558324</v>
      </c>
      <c r="V27" s="104">
        <f>R27/$R$26</f>
        <v>0.32017249710954365</v>
      </c>
      <c r="W27" s="71">
        <f t="shared" si="13"/>
        <v>-0.10664886048566291</v>
      </c>
      <c r="X27" s="105">
        <f t="shared" si="13"/>
        <v>7.1304936007926756E-2</v>
      </c>
      <c r="Y27" s="106">
        <f t="shared" si="13"/>
        <v>2.3560343069940703E-2</v>
      </c>
    </row>
    <row r="28" spans="1:25" s="93" customFormat="1" ht="12.75" customHeight="1" x14ac:dyDescent="0.25">
      <c r="A28" s="65"/>
      <c r="B28" s="115"/>
      <c r="C28" s="115"/>
      <c r="D28" s="115"/>
      <c r="E28" s="421"/>
      <c r="F28" s="97"/>
      <c r="G28" s="97"/>
      <c r="H28" s="97"/>
      <c r="I28" s="98"/>
      <c r="J28" s="71"/>
      <c r="K28" s="71"/>
      <c r="L28" s="72"/>
      <c r="M28" s="112"/>
      <c r="N28" s="100" t="s">
        <v>35</v>
      </c>
      <c r="O28" s="334">
        <v>0</v>
      </c>
      <c r="P28" s="334">
        <v>0</v>
      </c>
      <c r="Q28" s="400">
        <v>0</v>
      </c>
      <c r="R28" s="426">
        <v>0</v>
      </c>
      <c r="S28" s="97">
        <f>O28/$O$26</f>
        <v>0</v>
      </c>
      <c r="T28" s="97">
        <f>P28/$P$26</f>
        <v>0</v>
      </c>
      <c r="U28" s="103">
        <f>Q28/$Q$26</f>
        <v>0</v>
      </c>
      <c r="V28" s="104">
        <f>R28/$R$26</f>
        <v>0</v>
      </c>
      <c r="W28" s="71" t="e">
        <f t="shared" si="13"/>
        <v>#DIV/0!</v>
      </c>
      <c r="X28" s="105" t="e">
        <f t="shared" si="13"/>
        <v>#DIV/0!</v>
      </c>
      <c r="Y28" s="106" t="e">
        <f t="shared" si="13"/>
        <v>#DIV/0!</v>
      </c>
    </row>
    <row r="29" spans="1:25" s="114" customFormat="1" ht="12.75" customHeight="1" x14ac:dyDescent="0.25">
      <c r="A29" s="80" t="s">
        <v>47</v>
      </c>
      <c r="B29" s="110">
        <f>SUM(B30:B34)</f>
        <v>2.9520772599999998</v>
      </c>
      <c r="C29" s="110">
        <f>SUM(C30:C34)</f>
        <v>13.842119749999998</v>
      </c>
      <c r="D29" s="186">
        <f>SUM(D30:D34)</f>
        <v>4.1802862899999997</v>
      </c>
      <c r="E29" s="186">
        <f>SUM(E30:E34)</f>
        <v>7.9906330300000006</v>
      </c>
      <c r="F29" s="83">
        <f>B29/$B$57</f>
        <v>1.6805336407658329E-4</v>
      </c>
      <c r="G29" s="83">
        <f>C29/$C$57</f>
        <v>7.5062731534426548E-4</v>
      </c>
      <c r="H29" s="83">
        <f>D29/$D$57</f>
        <v>2.5903256871725837E-4</v>
      </c>
      <c r="I29" s="84">
        <f>E29/$E$57</f>
        <v>4.7966374084605325E-4</v>
      </c>
      <c r="J29" s="85">
        <f t="shared" ref="J29:L32" si="14">C29/B29-1</f>
        <v>3.6889422365592148</v>
      </c>
      <c r="K29" s="85">
        <f t="shared" si="14"/>
        <v>-0.69800244720466309</v>
      </c>
      <c r="L29" s="86">
        <f t="shared" si="14"/>
        <v>0.9115037764554641</v>
      </c>
      <c r="M29" s="99"/>
      <c r="N29" s="100" t="s">
        <v>37</v>
      </c>
      <c r="O29" s="334">
        <v>5.3875608399999999</v>
      </c>
      <c r="P29" s="334">
        <v>5.03124897</v>
      </c>
      <c r="Q29" s="400">
        <v>4.6240689899999996</v>
      </c>
      <c r="R29" s="426">
        <v>4.4887004599999996</v>
      </c>
      <c r="S29" s="97">
        <f>O29/$O$26</f>
        <v>1.1322028720244352E-3</v>
      </c>
      <c r="T29" s="97">
        <f>P29/$P$26</f>
        <v>1.1134425504379631E-3</v>
      </c>
      <c r="U29" s="103">
        <f>Q29/$Q$26</f>
        <v>9.7355122531173749E-4</v>
      </c>
      <c r="V29" s="104">
        <f>R29/$R$26</f>
        <v>9.2201629709939186E-4</v>
      </c>
      <c r="W29" s="71">
        <f t="shared" si="13"/>
        <v>-6.6136027152502663E-2</v>
      </c>
      <c r="X29" s="105">
        <f t="shared" si="13"/>
        <v>-8.0930198928319097E-2</v>
      </c>
      <c r="Y29" s="106">
        <f t="shared" si="13"/>
        <v>-2.9274764345589954E-2</v>
      </c>
    </row>
    <row r="30" spans="1:25" s="114" customFormat="1" ht="12.75" customHeight="1" x14ac:dyDescent="0.25">
      <c r="A30" s="65" t="str">
        <f>A21</f>
        <v>"Maladie-Maternité-Invalidité" + IJ AMEXA</v>
      </c>
      <c r="B30" s="111">
        <f>'[1]COMPTES NSA OK'!$C$33+'[1]COMPTES NSA OK'!$C$34</f>
        <v>0.43510894</v>
      </c>
      <c r="C30" s="111">
        <f>'[1]COMPTES NSA OK'!$D$33+'[1]COMPTES NSA OK'!$D$34</f>
        <v>0.46338338000000001</v>
      </c>
      <c r="D30" s="111">
        <f>'[1]COMPTES NSA OK'!$E$33+'[1]COMPTES NSA OK'!$E$34</f>
        <v>0.41023106999999998</v>
      </c>
      <c r="E30" s="422">
        <f>'[1]COMPTES NSA OK'!$F$33+'[1]COMPTES NSA OK'!$F$34</f>
        <v>0.60922907000000004</v>
      </c>
      <c r="F30" s="97">
        <f>B30/$B$29</f>
        <v>0.14739076984726343</v>
      </c>
      <c r="G30" s="97">
        <f>C30/$C$29</f>
        <v>3.3476330819923739E-2</v>
      </c>
      <c r="H30" s="97">
        <f>D30/$D$29</f>
        <v>9.8134683019521135E-2</v>
      </c>
      <c r="I30" s="98">
        <f>E30/$E$29</f>
        <v>7.6242904374748899E-2</v>
      </c>
      <c r="J30" s="71">
        <f t="shared" si="14"/>
        <v>6.4982438650881269E-2</v>
      </c>
      <c r="K30" s="71">
        <f t="shared" si="14"/>
        <v>-0.11470482605569499</v>
      </c>
      <c r="L30" s="72">
        <f t="shared" si="14"/>
        <v>0.48508758734437163</v>
      </c>
      <c r="M30" s="112"/>
      <c r="N30" s="100" t="s">
        <v>39</v>
      </c>
      <c r="O30" s="334">
        <v>314.76963153999998</v>
      </c>
      <c r="P30" s="334">
        <v>322.57794943000005</v>
      </c>
      <c r="Q30" s="400">
        <v>313.56842792999998</v>
      </c>
      <c r="R30" s="426">
        <v>666.27188158000001</v>
      </c>
      <c r="S30" s="97">
        <f>O30/$O$5</f>
        <v>0.13443869560003302</v>
      </c>
      <c r="T30" s="97">
        <f>P30/$P$5</f>
        <v>0.13051657161085939</v>
      </c>
      <c r="U30" s="103">
        <f>Q30/$Q$5</f>
        <v>0.12562740276484835</v>
      </c>
      <c r="V30" s="104">
        <f>R30/$R$5</f>
        <v>0.26155727572999699</v>
      </c>
      <c r="W30" s="71">
        <f t="shared" si="13"/>
        <v>2.4806452426169967E-2</v>
      </c>
      <c r="X30" s="105">
        <f t="shared" si="13"/>
        <v>-2.7929750052413715E-2</v>
      </c>
      <c r="Y30" s="106">
        <f t="shared" si="13"/>
        <v>1.1248053765436374</v>
      </c>
    </row>
    <row r="31" spans="1:25" s="114" customFormat="1" ht="12.75" customHeight="1" x14ac:dyDescent="0.25">
      <c r="A31" s="65" t="s">
        <v>36</v>
      </c>
      <c r="B31" s="335">
        <v>1.98190712</v>
      </c>
      <c r="C31" s="335">
        <v>2.1039014099999997</v>
      </c>
      <c r="D31" s="335">
        <v>2.4905847199999998</v>
      </c>
      <c r="E31" s="422">
        <v>4.5950734900000008</v>
      </c>
      <c r="F31" s="97">
        <f>B31/$B$29</f>
        <v>0.67136017978066065</v>
      </c>
      <c r="G31" s="97">
        <f>C31/$C$29</f>
        <v>0.15199271845628989</v>
      </c>
      <c r="H31" s="97">
        <f>D31/$D$29</f>
        <v>0.5957928589622985</v>
      </c>
      <c r="I31" s="98">
        <f>E31/$E$29</f>
        <v>0.57505750454917337</v>
      </c>
      <c r="J31" s="71">
        <f t="shared" si="14"/>
        <v>6.1553989472523662E-2</v>
      </c>
      <c r="K31" s="71">
        <f t="shared" si="14"/>
        <v>0.18379345541671555</v>
      </c>
      <c r="L31" s="72">
        <f t="shared" si="14"/>
        <v>0.8449777889908523</v>
      </c>
      <c r="M31" s="99"/>
      <c r="N31" s="100" t="s">
        <v>41</v>
      </c>
      <c r="O31" s="334">
        <v>2847.1467554800001</v>
      </c>
      <c r="P31" s="334">
        <v>2769.5575516600002</v>
      </c>
      <c r="Q31" s="400">
        <v>2908.6659185499998</v>
      </c>
      <c r="R31" s="426">
        <v>2638.879426</v>
      </c>
      <c r="S31" s="97">
        <f>O31/$O$26</f>
        <v>0.59833156958455969</v>
      </c>
      <c r="T31" s="97">
        <f>P31/$P$26</f>
        <v>0.61291803333378492</v>
      </c>
      <c r="U31" s="103">
        <f>Q31/$Q$26</f>
        <v>0.61239035904324668</v>
      </c>
      <c r="V31" s="104">
        <f>R31/$R$26</f>
        <v>0.54204771704732757</v>
      </c>
      <c r="W31" s="71">
        <f t="shared" si="13"/>
        <v>-2.7251564630682013E-2</v>
      </c>
      <c r="X31" s="105">
        <f t="shared" si="13"/>
        <v>5.0227649830429266E-2</v>
      </c>
      <c r="Y31" s="106">
        <f t="shared" si="13"/>
        <v>-9.2752657095969027E-2</v>
      </c>
    </row>
    <row r="32" spans="1:25" s="117" customFormat="1" ht="12.75" customHeight="1" x14ac:dyDescent="0.25">
      <c r="A32" s="65" t="s">
        <v>38</v>
      </c>
      <c r="B32" s="335">
        <v>0.16477027999999999</v>
      </c>
      <c r="C32" s="335">
        <v>0.11646199</v>
      </c>
      <c r="D32" s="335">
        <v>0.13235195999999999</v>
      </c>
      <c r="E32" s="422">
        <v>0.14224012999999999</v>
      </c>
      <c r="F32" s="97">
        <f>B32/$B$29</f>
        <v>5.5815029719107012E-2</v>
      </c>
      <c r="G32" s="97">
        <f>C32/$C$29</f>
        <v>8.4135950348211679E-3</v>
      </c>
      <c r="H32" s="97">
        <f>D32/$D$29</f>
        <v>3.1660979851214924E-2</v>
      </c>
      <c r="I32" s="98">
        <f>E32/$E$29</f>
        <v>1.7800858763751787E-2</v>
      </c>
      <c r="J32" s="71">
        <f t="shared" si="14"/>
        <v>-0.29318570072224182</v>
      </c>
      <c r="K32" s="71">
        <f t="shared" si="14"/>
        <v>0.13643910772948309</v>
      </c>
      <c r="L32" s="72">
        <f t="shared" si="14"/>
        <v>7.4711171636596907E-2</v>
      </c>
      <c r="M32" s="87"/>
      <c r="N32" s="100"/>
      <c r="O32" s="101"/>
      <c r="P32" s="101"/>
      <c r="Q32" s="101"/>
      <c r="R32" s="401"/>
      <c r="S32" s="97"/>
      <c r="T32" s="97"/>
      <c r="U32" s="103"/>
      <c r="V32" s="104"/>
      <c r="W32" s="71"/>
      <c r="X32" s="105"/>
      <c r="Y32" s="106"/>
    </row>
    <row r="33" spans="1:25" s="114" customFormat="1" ht="12.75" customHeight="1" x14ac:dyDescent="0.25">
      <c r="A33" s="65" t="s">
        <v>40</v>
      </c>
      <c r="B33" s="334">
        <v>0.18834590000000001</v>
      </c>
      <c r="C33" s="334">
        <v>0.65486288000000004</v>
      </c>
      <c r="D33" s="334">
        <v>1.0254293800000001</v>
      </c>
      <c r="E33" s="423">
        <v>2.23196876</v>
      </c>
      <c r="F33" s="97">
        <f>B33/$B$5</f>
        <v>1.2752499310079058E-5</v>
      </c>
      <c r="G33" s="97">
        <f>C33/$B$5</f>
        <v>4.4339369348610111E-5</v>
      </c>
      <c r="H33" s="97">
        <f>D33/$B$5</f>
        <v>6.9429636965735896E-5</v>
      </c>
      <c r="I33" s="98">
        <f>E33/$B$5</f>
        <v>1.5112184588046785E-4</v>
      </c>
      <c r="J33" s="71">
        <f>(C33-B33)/B33</f>
        <v>2.4769160358680491</v>
      </c>
      <c r="K33" s="71">
        <f>D33/C33-1</f>
        <v>0.56586884264993009</v>
      </c>
      <c r="L33" s="72">
        <f>E33/D33-1</f>
        <v>1.1766186960627167</v>
      </c>
      <c r="M33" s="107"/>
      <c r="N33" s="88" t="s">
        <v>154</v>
      </c>
      <c r="O33" s="81">
        <f>SUM(O34:O38)</f>
        <v>4590.3910513800001</v>
      </c>
      <c r="P33" s="81">
        <f>SUM(P34:P38)</f>
        <v>5369.3811884999996</v>
      </c>
      <c r="Q33" s="405">
        <f>SUM(Q34:Q38)</f>
        <v>4500.8894475899997</v>
      </c>
      <c r="R33" s="405">
        <f>SUM(R34:R38)</f>
        <v>4639.8392698600001</v>
      </c>
      <c r="S33" s="83">
        <f>O33/$O$75</f>
        <v>0.25992548981610886</v>
      </c>
      <c r="T33" s="83">
        <f>P33/$P$75</f>
        <v>0.29119917820672436</v>
      </c>
      <c r="U33" s="83">
        <f>Q33/$P$75</f>
        <v>0.24409801843546752</v>
      </c>
      <c r="V33" s="90">
        <f>R33/$R$75</f>
        <v>0.2754742164865755</v>
      </c>
      <c r="W33" s="85">
        <f t="shared" ref="W33:W38" si="15">P33/O33-1</f>
        <v>0.16970016898360174</v>
      </c>
      <c r="X33" s="91">
        <f t="shared" ref="X33:X38" si="16">Q33/P33-1</f>
        <v>-0.16174894469592005</v>
      </c>
      <c r="Y33" s="92">
        <f t="shared" ref="Y33:Y38" si="17">R33/Q33-1</f>
        <v>3.0871636348322351E-2</v>
      </c>
    </row>
    <row r="34" spans="1:25" s="93" customFormat="1" ht="12.75" customHeight="1" x14ac:dyDescent="0.25">
      <c r="A34" s="65" t="s">
        <v>42</v>
      </c>
      <c r="B34" s="335">
        <v>0.18194502000000001</v>
      </c>
      <c r="C34" s="335">
        <v>10.503510089999999</v>
      </c>
      <c r="D34" s="335">
        <v>0.12168916</v>
      </c>
      <c r="E34" s="422">
        <v>0.41212157999999999</v>
      </c>
      <c r="F34" s="97">
        <f>B34/$B$29</f>
        <v>6.1632878808869668E-2</v>
      </c>
      <c r="G34" s="97">
        <f>C34/$C$29</f>
        <v>0.75880791957460125</v>
      </c>
      <c r="H34" s="97">
        <f>D34/$D$29</f>
        <v>2.9110245461202614E-2</v>
      </c>
      <c r="I34" s="98">
        <f>E34/$E$29</f>
        <v>5.1575585870697903E-2</v>
      </c>
      <c r="J34" s="71">
        <f>C34/B34-1</f>
        <v>56.729033144188271</v>
      </c>
      <c r="K34" s="71">
        <f>D34/C34-1</f>
        <v>-0.98841442918059785</v>
      </c>
      <c r="L34" s="72">
        <f>E34/D34-1</f>
        <v>2.386674540279512</v>
      </c>
      <c r="M34" s="87"/>
      <c r="N34" s="100" t="str">
        <f>N20</f>
        <v>Cotisations "Maladie" + IJ AMEXA</v>
      </c>
      <c r="O34" s="334">
        <v>4212.93292673</v>
      </c>
      <c r="P34" s="334">
        <v>4974.0001246599995</v>
      </c>
      <c r="Q34" s="400">
        <v>4140.1775857699995</v>
      </c>
      <c r="R34" s="343">
        <v>4231.4442780600002</v>
      </c>
      <c r="S34" s="97">
        <f>O34/$O$40</f>
        <v>0.97616685930217795</v>
      </c>
      <c r="T34" s="97">
        <f>P34/$P$40</f>
        <v>1.1381514319262325</v>
      </c>
      <c r="U34" s="103">
        <f>Q34/$Q$40</f>
        <v>1.379029622602588</v>
      </c>
      <c r="V34" s="104">
        <f>R34/$R$40</f>
        <v>1.4263595162590936</v>
      </c>
      <c r="W34" s="71">
        <f t="shared" si="15"/>
        <v>0.18065020525278719</v>
      </c>
      <c r="X34" s="105">
        <f t="shared" si="16"/>
        <v>-0.16763621190037592</v>
      </c>
      <c r="Y34" s="106">
        <f t="shared" si="17"/>
        <v>2.204414916975761E-2</v>
      </c>
    </row>
    <row r="35" spans="1:25" s="93" customFormat="1" ht="12.75" customHeight="1" x14ac:dyDescent="0.25">
      <c r="A35" s="94"/>
      <c r="B35" s="118"/>
      <c r="C35" s="118"/>
      <c r="D35" s="118"/>
      <c r="E35" s="424"/>
      <c r="F35" s="119"/>
      <c r="G35" s="119"/>
      <c r="H35" s="119"/>
      <c r="I35" s="120"/>
      <c r="J35" s="121"/>
      <c r="K35" s="121"/>
      <c r="L35" s="122"/>
      <c r="M35" s="87"/>
      <c r="N35" s="100" t="s">
        <v>35</v>
      </c>
      <c r="O35" s="334">
        <v>377.45812465</v>
      </c>
      <c r="P35" s="334">
        <v>395.38106384000002</v>
      </c>
      <c r="Q35" s="400">
        <v>360.71186182000002</v>
      </c>
      <c r="R35" s="343">
        <v>408.39499180000001</v>
      </c>
      <c r="S35" s="97">
        <f>O35/$O$40</f>
        <v>8.7459762228798157E-2</v>
      </c>
      <c r="T35" s="97">
        <f>P35/$P$40</f>
        <v>9.0471152530735691E-2</v>
      </c>
      <c r="U35" s="103">
        <f>Q35/$Q$40</f>
        <v>0.12014758603196436</v>
      </c>
      <c r="V35" s="104">
        <f>R35/$R$40</f>
        <v>0.13766412710828677</v>
      </c>
      <c r="W35" s="71">
        <f t="shared" si="15"/>
        <v>4.7483251835204632E-2</v>
      </c>
      <c r="X35" s="105">
        <f t="shared" si="16"/>
        <v>-8.7685539826534709E-2</v>
      </c>
      <c r="Y35" s="106">
        <f t="shared" si="17"/>
        <v>0.13219174367987518</v>
      </c>
    </row>
    <row r="36" spans="1:25" ht="12.75" customHeight="1" x14ac:dyDescent="0.25">
      <c r="A36" s="80" t="s">
        <v>48</v>
      </c>
      <c r="B36" s="110">
        <f>SUM(B37:B41)</f>
        <v>56.823788439999987</v>
      </c>
      <c r="C36" s="110">
        <f>SUM(C37:C41)</f>
        <v>89.276517919999989</v>
      </c>
      <c r="D36" s="186">
        <f>SUM(D37:D41)</f>
        <v>124.60882316000001</v>
      </c>
      <c r="E36" s="186">
        <f>SUM(E37:E41)</f>
        <v>9.9508104500000005</v>
      </c>
      <c r="F36" s="83">
        <f>B36/$B$57</f>
        <v>3.2348166954539884E-3</v>
      </c>
      <c r="G36" s="83">
        <f>C36/$C$57</f>
        <v>4.8412666686815653E-3</v>
      </c>
      <c r="H36" s="83">
        <f>D36/$D$57</f>
        <v>7.7214193738796306E-3</v>
      </c>
      <c r="I36" s="84">
        <f>E36/$E$57</f>
        <v>5.9732976686291384E-4</v>
      </c>
      <c r="J36" s="85">
        <f t="shared" ref="J36:L39" si="18">C36/B36-1</f>
        <v>0.5711116835208323</v>
      </c>
      <c r="K36" s="85">
        <f t="shared" si="18"/>
        <v>0.39576258195532477</v>
      </c>
      <c r="L36" s="86">
        <f t="shared" si="18"/>
        <v>-0.92014361264592814</v>
      </c>
      <c r="M36" s="87"/>
      <c r="N36" s="100" t="s">
        <v>37</v>
      </c>
      <c r="O36" s="334"/>
      <c r="P36" s="334"/>
      <c r="Q36" s="334"/>
      <c r="R36" s="102"/>
      <c r="S36" s="97">
        <f>O36/$O$40</f>
        <v>0</v>
      </c>
      <c r="T36" s="97">
        <f>P36/$P$40</f>
        <v>0</v>
      </c>
      <c r="U36" s="103">
        <f>Q36/$Q$40</f>
        <v>0</v>
      </c>
      <c r="V36" s="104">
        <f>R36/$R$40</f>
        <v>0</v>
      </c>
      <c r="W36" s="71" t="e">
        <f t="shared" si="15"/>
        <v>#DIV/0!</v>
      </c>
      <c r="X36" s="105" t="e">
        <f t="shared" si="16"/>
        <v>#DIV/0!</v>
      </c>
      <c r="Y36" s="106" t="e">
        <f t="shared" si="17"/>
        <v>#DIV/0!</v>
      </c>
    </row>
    <row r="37" spans="1:25" ht="12.75" customHeight="1" x14ac:dyDescent="0.25">
      <c r="A37" s="65" t="str">
        <f>A30</f>
        <v>"Maladie-Maternité-Invalidité" + IJ AMEXA</v>
      </c>
      <c r="B37" s="111">
        <f>'[1]COMPTES NSA OK'!$C$41+'[1]COMPTES NSA OK'!$C$42</f>
        <v>11.2625116</v>
      </c>
      <c r="C37" s="111">
        <f>'[1]COMPTES NSA OK'!$D$41+'[1]COMPTES NSA OK'!$D$42</f>
        <v>10.915506349999999</v>
      </c>
      <c r="D37" s="111">
        <f>'[1]COMPTES NSA OK'!$E$41+'[1]COMPTES NSA OK'!$E$42</f>
        <v>11.062796779999999</v>
      </c>
      <c r="E37" s="344">
        <f>'[1]COMPTES NSA OK'!$F$41+'[1]COMPTES NSA OK'!$F$42</f>
        <v>9.9508104500000005</v>
      </c>
      <c r="F37" s="97">
        <f>B37/$B$36</f>
        <v>0.19820064640519422</v>
      </c>
      <c r="G37" s="97">
        <f>C37/$C$36</f>
        <v>0.12226626445916385</v>
      </c>
      <c r="H37" s="97">
        <f>D37/$D$36</f>
        <v>8.878020431823809E-2</v>
      </c>
      <c r="I37" s="98">
        <f>E37/$E$36</f>
        <v>1</v>
      </c>
      <c r="J37" s="71">
        <f t="shared" si="18"/>
        <v>-3.0810645291588501E-2</v>
      </c>
      <c r="K37" s="71">
        <f t="shared" si="18"/>
        <v>1.3493687354228845E-2</v>
      </c>
      <c r="L37" s="72">
        <f>E37/D37-1</f>
        <v>-0.10051584170924266</v>
      </c>
      <c r="M37" s="87"/>
      <c r="N37" s="100" t="s">
        <v>39</v>
      </c>
      <c r="O37" s="334"/>
      <c r="P37" s="334"/>
      <c r="Q37" s="334"/>
      <c r="R37" s="102"/>
      <c r="S37" s="97">
        <f>O37/$O$5</f>
        <v>0</v>
      </c>
      <c r="T37" s="97">
        <f>P37/$P$5</f>
        <v>0</v>
      </c>
      <c r="U37" s="103">
        <f>Q37/$Q$5</f>
        <v>0</v>
      </c>
      <c r="V37" s="104">
        <f>R37/$R$5</f>
        <v>0</v>
      </c>
      <c r="W37" s="71" t="e">
        <f t="shared" si="15"/>
        <v>#DIV/0!</v>
      </c>
      <c r="X37" s="105" t="e">
        <f t="shared" si="16"/>
        <v>#DIV/0!</v>
      </c>
      <c r="Y37" s="106" t="e">
        <f t="shared" si="17"/>
        <v>#DIV/0!</v>
      </c>
    </row>
    <row r="38" spans="1:25" s="93" customFormat="1" ht="12.75" customHeight="1" x14ac:dyDescent="0.25">
      <c r="A38" s="65" t="s">
        <v>36</v>
      </c>
      <c r="B38" s="335">
        <v>44.466424419999996</v>
      </c>
      <c r="C38" s="335">
        <v>77.054868019999986</v>
      </c>
      <c r="D38" s="335">
        <v>112.75116841000001</v>
      </c>
      <c r="E38" s="422">
        <v>0</v>
      </c>
      <c r="F38" s="97">
        <f>B38/$B$36</f>
        <v>0.78253185225324984</v>
      </c>
      <c r="G38" s="97">
        <f>C38/$C$36</f>
        <v>0.8631034208687246</v>
      </c>
      <c r="H38" s="97">
        <f>D38/$D$36</f>
        <v>0.90484096993055974</v>
      </c>
      <c r="I38" s="98">
        <f>E38/$E$36</f>
        <v>0</v>
      </c>
      <c r="J38" s="71">
        <f t="shared" si="18"/>
        <v>0.73287753681724954</v>
      </c>
      <c r="K38" s="71">
        <f t="shared" si="18"/>
        <v>0.46325821206695017</v>
      </c>
      <c r="L38" s="72">
        <f t="shared" si="18"/>
        <v>-1</v>
      </c>
      <c r="M38" s="112"/>
      <c r="N38" s="100" t="s">
        <v>41</v>
      </c>
      <c r="O38" s="334"/>
      <c r="P38" s="334"/>
      <c r="Q38" s="334"/>
      <c r="R38" s="102"/>
      <c r="S38" s="97">
        <f>O38/$O$40</f>
        <v>0</v>
      </c>
      <c r="T38" s="97">
        <f>P38/$P$40</f>
        <v>0</v>
      </c>
      <c r="U38" s="103">
        <f>Q38/$Q$40</f>
        <v>0</v>
      </c>
      <c r="V38" s="104">
        <f>R38/$R$40</f>
        <v>0</v>
      </c>
      <c r="W38" s="71" t="e">
        <f t="shared" si="15"/>
        <v>#DIV/0!</v>
      </c>
      <c r="X38" s="105" t="e">
        <f t="shared" si="16"/>
        <v>#DIV/0!</v>
      </c>
      <c r="Y38" s="106" t="e">
        <f t="shared" si="17"/>
        <v>#DIV/0!</v>
      </c>
    </row>
    <row r="39" spans="1:25" ht="12.75" customHeight="1" x14ac:dyDescent="0.25">
      <c r="A39" s="65" t="s">
        <v>38</v>
      </c>
      <c r="B39" s="335">
        <v>0.48316197000000005</v>
      </c>
      <c r="C39" s="335">
        <v>0.61420969999999997</v>
      </c>
      <c r="D39" s="335">
        <v>0.38539745000000003</v>
      </c>
      <c r="E39" s="422">
        <v>0</v>
      </c>
      <c r="F39" s="97">
        <f>B39/$B$36</f>
        <v>8.5028116439326961E-3</v>
      </c>
      <c r="G39" s="97">
        <f>C39/$C$36</f>
        <v>6.8798572604544077E-3</v>
      </c>
      <c r="H39" s="97">
        <f>D39/$D$36</f>
        <v>3.0928584367187436E-3</v>
      </c>
      <c r="I39" s="98">
        <f>E39/$E$36</f>
        <v>0</v>
      </c>
      <c r="J39" s="71">
        <f t="shared" si="18"/>
        <v>0.27122939746271824</v>
      </c>
      <c r="K39" s="71">
        <f t="shared" si="18"/>
        <v>-0.37253115670429815</v>
      </c>
      <c r="L39" s="72">
        <f>E39/D39-1</f>
        <v>-1</v>
      </c>
      <c r="M39" s="123"/>
      <c r="N39" s="100"/>
      <c r="O39" s="334"/>
      <c r="P39" s="334"/>
      <c r="Q39" s="334"/>
      <c r="R39" s="102"/>
      <c r="S39" s="97"/>
      <c r="T39" s="97"/>
      <c r="U39" s="103"/>
      <c r="V39" s="104"/>
      <c r="W39" s="71"/>
      <c r="X39" s="105"/>
      <c r="Y39" s="106"/>
    </row>
    <row r="40" spans="1:25" s="31" customFormat="1" ht="12.75" customHeight="1" x14ac:dyDescent="0.25">
      <c r="A40" s="65" t="s">
        <v>40</v>
      </c>
      <c r="B40" s="334">
        <v>7.8166300000000008E-2</v>
      </c>
      <c r="C40" s="334">
        <v>9.0362129999999999E-2</v>
      </c>
      <c r="D40" s="334">
        <v>5.5112229999999998E-2</v>
      </c>
      <c r="E40" s="423">
        <v>0</v>
      </c>
      <c r="F40" s="97">
        <f>B40/$B$5</f>
        <v>5.2924735118812394E-6</v>
      </c>
      <c r="G40" s="97">
        <f>C40/$B$5</f>
        <v>6.1182271580229467E-6</v>
      </c>
      <c r="H40" s="97">
        <f>D40/$B$5</f>
        <v>3.7315315865751169E-6</v>
      </c>
      <c r="I40" s="98">
        <f>E40/$B$5</f>
        <v>0</v>
      </c>
      <c r="J40" s="71">
        <f>(C40-B40)/B40</f>
        <v>0.15602414339683457</v>
      </c>
      <c r="K40" s="71">
        <f>D40/C40-1</f>
        <v>-0.39009593952687927</v>
      </c>
      <c r="L40" s="72">
        <f>E40/D40-1</f>
        <v>-1</v>
      </c>
      <c r="M40" s="51"/>
      <c r="N40" s="88" t="s">
        <v>155</v>
      </c>
      <c r="O40" s="185">
        <f t="shared" ref="O40:Q40" si="19">SUM(O41:O45)</f>
        <v>4315.7917999199999</v>
      </c>
      <c r="P40" s="185">
        <f t="shared" si="19"/>
        <v>4370.2445783000003</v>
      </c>
      <c r="Q40" s="185">
        <f t="shared" si="19"/>
        <v>3002.2397763700001</v>
      </c>
      <c r="R40" s="185">
        <f>SUM(R41:R45)</f>
        <v>2966.6043026500001</v>
      </c>
      <c r="S40" s="83">
        <f>O40/$O$75</f>
        <v>0.24437663044008251</v>
      </c>
      <c r="T40" s="83">
        <f>P40/$P$75</f>
        <v>0.23701271805566701</v>
      </c>
      <c r="U40" s="89">
        <f>Q40/$Q$75</f>
        <v>0.17999859170977298</v>
      </c>
      <c r="V40" s="90">
        <f>R40/$R$75</f>
        <v>0.17613174689192862</v>
      </c>
      <c r="W40" s="85">
        <f t="shared" ref="W40:Y45" si="20">P40/O40-1</f>
        <v>1.2617100384918922E-2</v>
      </c>
      <c r="X40" s="91">
        <f t="shared" si="20"/>
        <v>-0.31302705773555262</v>
      </c>
      <c r="Y40" s="92">
        <f t="shared" si="20"/>
        <v>-1.1869629468132192E-2</v>
      </c>
    </row>
    <row r="41" spans="1:25" s="31" customFormat="1" ht="12.75" customHeight="1" x14ac:dyDescent="0.25">
      <c r="A41" s="65" t="s">
        <v>42</v>
      </c>
      <c r="B41" s="335">
        <v>0.53352414999999997</v>
      </c>
      <c r="C41" s="335">
        <v>0.60157172000000014</v>
      </c>
      <c r="D41" s="335">
        <v>0.35434829000000001</v>
      </c>
      <c r="E41" s="422">
        <v>0</v>
      </c>
      <c r="F41" s="97">
        <f>B41/$B$36</f>
        <v>9.3890985562032001E-3</v>
      </c>
      <c r="G41" s="97">
        <f>C41/$C$36</f>
        <v>6.7382973038785402E-3</v>
      </c>
      <c r="H41" s="97">
        <f>D41/$D$36</f>
        <v>2.843685390921398E-3</v>
      </c>
      <c r="I41" s="98">
        <f>E41/$E$36</f>
        <v>0</v>
      </c>
      <c r="J41" s="71">
        <f>C41/B41-1</f>
        <v>0.12754356105529641</v>
      </c>
      <c r="K41" s="71">
        <f>D41/C41-1</f>
        <v>-0.41096251998016142</v>
      </c>
      <c r="L41" s="72">
        <f>E41/D41-1</f>
        <v>-1</v>
      </c>
      <c r="M41" s="112"/>
      <c r="N41" s="100" t="str">
        <f>N27</f>
        <v>Cotisations "Maladie" + IJ AMEXA</v>
      </c>
      <c r="O41" s="334">
        <f>'[1]COMPTES NSA OK'!$S$46+'[1]COMPTES NSA OK'!$S$47</f>
        <v>1050.6742744599999</v>
      </c>
      <c r="P41" s="334">
        <f>'[1]COMPTES NSA OK'!$T$46+'[1]COMPTES NSA OK'!$T$47</f>
        <v>1255.61579622</v>
      </c>
      <c r="Q41" s="334">
        <f>'[1]COMPTES NSA OK'!$U$46+'[1]COMPTES NSA OK'!$U$47</f>
        <v>4.8058407399999998</v>
      </c>
      <c r="R41" s="343">
        <f>'[1]COMPTES NSA OK'!$V$46+'[1]COMPTES NSA OK'!$V$47</f>
        <v>9.7040036199999999</v>
      </c>
      <c r="S41" s="97">
        <f>O41/$O$40</f>
        <v>0.24344878603260606</v>
      </c>
      <c r="T41" s="97">
        <f>P41/$P$40</f>
        <v>0.28731018910351858</v>
      </c>
      <c r="U41" s="103">
        <f>Q41/$Q$40</f>
        <v>1.6007518046445739E-3</v>
      </c>
      <c r="V41" s="104">
        <f>R41/$R$40</f>
        <v>3.2710812194709062E-3</v>
      </c>
      <c r="W41" s="71">
        <f t="shared" si="20"/>
        <v>0.19505714258144469</v>
      </c>
      <c r="X41" s="105">
        <f t="shared" si="20"/>
        <v>-0.99617252287326441</v>
      </c>
      <c r="Y41" s="106">
        <f t="shared" si="20"/>
        <v>1.0192104035474134</v>
      </c>
    </row>
    <row r="42" spans="1:25" ht="12.75" customHeight="1" x14ac:dyDescent="0.25">
      <c r="A42" s="94"/>
      <c r="B42" s="118"/>
      <c r="C42" s="118"/>
      <c r="D42" s="118"/>
      <c r="E42" s="424"/>
      <c r="F42" s="119"/>
      <c r="G42" s="119"/>
      <c r="H42" s="119"/>
      <c r="I42" s="120"/>
      <c r="J42" s="121"/>
      <c r="K42" s="121"/>
      <c r="L42" s="122"/>
      <c r="M42" s="73"/>
      <c r="N42" s="100" t="s">
        <v>35</v>
      </c>
      <c r="O42" s="334">
        <v>8.5225000000000003E-4</v>
      </c>
      <c r="P42" s="334">
        <v>8.5225000000000003E-4</v>
      </c>
      <c r="Q42" s="334">
        <v>1.95766E-3</v>
      </c>
      <c r="R42" s="343">
        <v>4.8846799999999998E-3</v>
      </c>
      <c r="S42" s="97">
        <f>O42/$O$40</f>
        <v>1.9747245453680085E-7</v>
      </c>
      <c r="T42" s="97">
        <f>P42/$P$40</f>
        <v>1.950119689483192E-7</v>
      </c>
      <c r="U42" s="103">
        <f>Q42/$Q$40</f>
        <v>6.5206650561635063E-7</v>
      </c>
      <c r="V42" s="104">
        <f>R42/$R$40</f>
        <v>1.6465559615202562E-6</v>
      </c>
      <c r="W42" s="71">
        <f t="shared" si="20"/>
        <v>0</v>
      </c>
      <c r="X42" s="105">
        <f t="shared" si="20"/>
        <v>1.2970489879730125</v>
      </c>
      <c r="Y42" s="106">
        <f t="shared" si="20"/>
        <v>1.4951625920742111</v>
      </c>
    </row>
    <row r="43" spans="1:25" ht="12.75" customHeight="1" x14ac:dyDescent="0.25">
      <c r="A43" s="80" t="s">
        <v>50</v>
      </c>
      <c r="B43" s="110">
        <f>SUM(B44:B48)</f>
        <v>966.94147208000004</v>
      </c>
      <c r="C43" s="110">
        <f>SUM(C44:C48)</f>
        <v>1226.14936928</v>
      </c>
      <c r="D43" s="186">
        <f>SUM(D44:D48)</f>
        <v>1073.1753624799999</v>
      </c>
      <c r="E43" s="186">
        <f>SUM(E44:E48)</f>
        <v>1024.7162281400001</v>
      </c>
      <c r="F43" s="83">
        <f>B43/$B$57</f>
        <v>5.5045228473528385E-2</v>
      </c>
      <c r="G43" s="83">
        <f>C43/$C$57</f>
        <v>6.6491348572079126E-2</v>
      </c>
      <c r="H43" s="83">
        <f>D43/$D$57</f>
        <v>6.6499601113987158E-2</v>
      </c>
      <c r="I43" s="84">
        <f>E43/$E$57</f>
        <v>6.151192495637485E-2</v>
      </c>
      <c r="J43" s="85">
        <f t="shared" ref="J43:L46" si="21">C43/B43-1</f>
        <v>0.2680698932505341</v>
      </c>
      <c r="K43" s="85">
        <f t="shared" si="21"/>
        <v>-0.1247596831451514</v>
      </c>
      <c r="L43" s="86">
        <f t="shared" si="21"/>
        <v>-4.5154907608031203E-2</v>
      </c>
      <c r="M43" s="124"/>
      <c r="N43" s="100" t="s">
        <v>37</v>
      </c>
      <c r="O43" s="334">
        <v>0</v>
      </c>
      <c r="P43" s="334">
        <v>0</v>
      </c>
      <c r="Q43" s="334">
        <v>0</v>
      </c>
      <c r="R43" s="343">
        <v>0</v>
      </c>
      <c r="S43" s="97">
        <f>O43/$O$40</f>
        <v>0</v>
      </c>
      <c r="T43" s="97">
        <f>P43/$P$40</f>
        <v>0</v>
      </c>
      <c r="U43" s="103">
        <f>Q43/$Q$40</f>
        <v>0</v>
      </c>
      <c r="V43" s="104">
        <f>R43/$R$40</f>
        <v>0</v>
      </c>
      <c r="W43" s="71" t="e">
        <f t="shared" si="20"/>
        <v>#DIV/0!</v>
      </c>
      <c r="X43" s="105" t="e">
        <f t="shared" si="20"/>
        <v>#DIV/0!</v>
      </c>
      <c r="Y43" s="106" t="e">
        <f t="shared" si="20"/>
        <v>#DIV/0!</v>
      </c>
    </row>
    <row r="44" spans="1:25" ht="12.75" customHeight="1" x14ac:dyDescent="0.25">
      <c r="A44" s="65" t="str">
        <f>A37</f>
        <v>"Maladie-Maternité-Invalidité" + IJ AMEXA</v>
      </c>
      <c r="B44" s="111">
        <f>'[1]COMPTES NSA OK'!$C$49+'[1]COMPTES NSA OK'!$C$50</f>
        <v>412.38197525999993</v>
      </c>
      <c r="C44" s="111">
        <f>'[1]COMPTES NSA OK'!$D$49+'[1]COMPTES NSA OK'!$D$50</f>
        <v>512.19720168000003</v>
      </c>
      <c r="D44" s="111">
        <f>'[1]COMPTES NSA OK'!$E$49+'[1]COMPTES NSA OK'!$E$50</f>
        <v>471.76975321999998</v>
      </c>
      <c r="E44" s="422">
        <f>'[1]COMPTES NSA OK'!$F$49+'[1]COMPTES NSA OK'!$F$50</f>
        <v>448.04754620000006</v>
      </c>
      <c r="F44" s="97">
        <f>B44/$B$43</f>
        <v>0.42648080278625328</v>
      </c>
      <c r="G44" s="97">
        <f>C44/$C$43</f>
        <v>0.41772822668478343</v>
      </c>
      <c r="H44" s="97">
        <f>D44/$D$43</f>
        <v>0.43960173678399372</v>
      </c>
      <c r="I44" s="98">
        <f>E44/$E$43</f>
        <v>0.43724060759071565</v>
      </c>
      <c r="J44" s="71">
        <f t="shared" si="21"/>
        <v>0.24204556068937855</v>
      </c>
      <c r="K44" s="71">
        <f t="shared" si="21"/>
        <v>-7.8929459839683913E-2</v>
      </c>
      <c r="L44" s="72">
        <f t="shared" si="21"/>
        <v>-5.0283441992809541E-2</v>
      </c>
      <c r="M44" s="124"/>
      <c r="N44" s="100" t="s">
        <v>39</v>
      </c>
      <c r="O44" s="334">
        <v>55</v>
      </c>
      <c r="P44" s="334">
        <v>0</v>
      </c>
      <c r="Q44" s="334">
        <v>0</v>
      </c>
      <c r="R44" s="343">
        <v>0</v>
      </c>
      <c r="S44" s="97">
        <f>O44/$O$5</f>
        <v>2.3490602386978341E-2</v>
      </c>
      <c r="T44" s="97">
        <f>P44/$P$5</f>
        <v>0</v>
      </c>
      <c r="U44" s="103">
        <f>Q44/$Q$5</f>
        <v>0</v>
      </c>
      <c r="V44" s="104">
        <f>R44/$R$5</f>
        <v>0</v>
      </c>
      <c r="W44" s="71">
        <f t="shared" si="20"/>
        <v>-1</v>
      </c>
      <c r="X44" s="105" t="e">
        <f t="shared" si="20"/>
        <v>#DIV/0!</v>
      </c>
      <c r="Y44" s="106" t="e">
        <f t="shared" si="20"/>
        <v>#DIV/0!</v>
      </c>
    </row>
    <row r="45" spans="1:25" ht="12.75" customHeight="1" x14ac:dyDescent="0.25">
      <c r="A45" s="65" t="s">
        <v>36</v>
      </c>
      <c r="B45" s="335">
        <v>147.57969918999999</v>
      </c>
      <c r="C45" s="335">
        <v>146.13116625000001</v>
      </c>
      <c r="D45" s="335">
        <v>135.13697890999998</v>
      </c>
      <c r="E45" s="422">
        <v>142.63413867</v>
      </c>
      <c r="F45" s="97">
        <f>B45/$B$43</f>
        <v>0.15262526580077224</v>
      </c>
      <c r="G45" s="97">
        <f>C45/$C$43</f>
        <v>0.11917892706319201</v>
      </c>
      <c r="H45" s="97">
        <f>D45/$D$43</f>
        <v>0.12592255062370428</v>
      </c>
      <c r="I45" s="98">
        <f>E45/$E$43</f>
        <v>0.1391937931234879</v>
      </c>
      <c r="J45" s="71">
        <f t="shared" si="21"/>
        <v>-9.8152587920312673E-3</v>
      </c>
      <c r="K45" s="71">
        <f t="shared" si="21"/>
        <v>-7.5235061911373968E-2</v>
      </c>
      <c r="L45" s="72">
        <f t="shared" si="21"/>
        <v>5.5478225282755922E-2</v>
      </c>
      <c r="M45" s="124"/>
      <c r="N45" s="100" t="s">
        <v>41</v>
      </c>
      <c r="O45" s="334">
        <v>3210.11667321</v>
      </c>
      <c r="P45" s="334">
        <v>3114.6279298300001</v>
      </c>
      <c r="Q45" s="334">
        <v>2997.4319779699999</v>
      </c>
      <c r="R45" s="343">
        <v>2956.89541435</v>
      </c>
      <c r="S45" s="97">
        <f>O45/$O$40</f>
        <v>0.74380712092494927</v>
      </c>
      <c r="T45" s="97">
        <f>P45/$P$40</f>
        <v>0.71268961588451241</v>
      </c>
      <c r="U45" s="103">
        <f>Q45/$Q$40</f>
        <v>0.99839859612884974</v>
      </c>
      <c r="V45" s="104">
        <f>R45/$R$40</f>
        <v>0.99672727222456758</v>
      </c>
      <c r="W45" s="71">
        <f t="shared" si="20"/>
        <v>-2.9746190902312231E-2</v>
      </c>
      <c r="X45" s="105">
        <f t="shared" si="20"/>
        <v>-3.7627592926130604E-2</v>
      </c>
      <c r="Y45" s="106">
        <f t="shared" si="20"/>
        <v>-1.3523764314896325E-2</v>
      </c>
    </row>
    <row r="46" spans="1:25" ht="12.75" customHeight="1" x14ac:dyDescent="0.25">
      <c r="A46" s="65" t="s">
        <v>38</v>
      </c>
      <c r="B46" s="335">
        <v>62.587608849999995</v>
      </c>
      <c r="C46" s="335">
        <v>77.504422519999991</v>
      </c>
      <c r="D46" s="335">
        <v>60.657049000000001</v>
      </c>
      <c r="E46" s="422">
        <v>54.174092299999998</v>
      </c>
      <c r="F46" s="97">
        <f>B46/$B$43</f>
        <v>6.4727401458298195E-2</v>
      </c>
      <c r="G46" s="97">
        <f>C46/$C$43</f>
        <v>6.3209609254630136E-2</v>
      </c>
      <c r="H46" s="97">
        <f>D46/$D$43</f>
        <v>5.6521097222943774E-2</v>
      </c>
      <c r="I46" s="98">
        <f>E46/$E$43</f>
        <v>5.2867409349350671E-2</v>
      </c>
      <c r="J46" s="71">
        <f t="shared" si="21"/>
        <v>0.23833493472725942</v>
      </c>
      <c r="K46" s="71">
        <f t="shared" si="21"/>
        <v>-0.21737306042958426</v>
      </c>
      <c r="L46" s="72">
        <f t="shared" si="21"/>
        <v>-0.1068788674503437</v>
      </c>
      <c r="M46" s="124"/>
      <c r="N46" s="100"/>
      <c r="O46" s="101"/>
      <c r="P46" s="101"/>
      <c r="Q46" s="101"/>
      <c r="R46" s="102"/>
      <c r="S46" s="97"/>
      <c r="T46" s="97"/>
      <c r="U46" s="103"/>
      <c r="V46" s="104"/>
      <c r="W46" s="71"/>
      <c r="X46" s="105"/>
      <c r="Y46" s="106"/>
    </row>
    <row r="47" spans="1:25" x14ac:dyDescent="0.25">
      <c r="A47" s="65" t="s">
        <v>40</v>
      </c>
      <c r="B47" s="334">
        <v>98.875536170000004</v>
      </c>
      <c r="C47" s="334">
        <v>134.37607384999998</v>
      </c>
      <c r="D47" s="334">
        <v>110.51766778</v>
      </c>
      <c r="E47" s="423">
        <v>110.09915205</v>
      </c>
      <c r="F47" s="97">
        <f>B47/$B$5</f>
        <v>6.6946517380607803E-3</v>
      </c>
      <c r="G47" s="97">
        <f>C47/$B$5</f>
        <v>9.0983174524279908E-3</v>
      </c>
      <c r="H47" s="97">
        <f>D47/$B$5</f>
        <v>7.482915646775409E-3</v>
      </c>
      <c r="I47" s="98">
        <f>E47/$B$5</f>
        <v>7.4545788390292236E-3</v>
      </c>
      <c r="J47" s="71">
        <f>(C47-B47)/B47</f>
        <v>0.35904268189213884</v>
      </c>
      <c r="K47" s="71">
        <f>D47/C47-1</f>
        <v>-0.17754951001643648</v>
      </c>
      <c r="L47" s="72">
        <f>E47/D47-1</f>
        <v>-3.7868671897157702E-3</v>
      </c>
      <c r="N47" s="88" t="s">
        <v>49</v>
      </c>
      <c r="O47" s="185">
        <f>SUM(O48:O52)</f>
        <v>23.696942880000002</v>
      </c>
      <c r="P47" s="185">
        <f>SUM(P48:P52)</f>
        <v>17.867184849999997</v>
      </c>
      <c r="Q47" s="185">
        <f>SUM(Q48:Q52)</f>
        <v>22.065401900000001</v>
      </c>
      <c r="R47" s="185">
        <f>SUM(R48:R52)</f>
        <v>27.165430459999996</v>
      </c>
      <c r="S47" s="83">
        <f>O47/$O$75</f>
        <v>1.3418114962943416E-3</v>
      </c>
      <c r="T47" s="83">
        <f>P47/$P$75</f>
        <v>9.6899612125343054E-4</v>
      </c>
      <c r="U47" s="89">
        <f>Q47/$Q$75</f>
        <v>1.3229260696533609E-3</v>
      </c>
      <c r="V47" s="90">
        <f>R47/$R$75</f>
        <v>1.6128523503174822E-3</v>
      </c>
      <c r="W47" s="85">
        <f t="shared" ref="W47:Y52" si="22">P47/O47-1</f>
        <v>-0.2460130852963428</v>
      </c>
      <c r="X47" s="91">
        <f t="shared" si="22"/>
        <v>0.23496802015791562</v>
      </c>
      <c r="Y47" s="92">
        <f t="shared" si="22"/>
        <v>0.23113236654891822</v>
      </c>
    </row>
    <row r="48" spans="1:25" x14ac:dyDescent="0.25">
      <c r="A48" s="65" t="s">
        <v>42</v>
      </c>
      <c r="B48" s="335">
        <v>245.51665260999999</v>
      </c>
      <c r="C48" s="335">
        <v>355.94050497999996</v>
      </c>
      <c r="D48" s="335">
        <v>295.09391356999998</v>
      </c>
      <c r="E48" s="422">
        <v>269.76129892</v>
      </c>
      <c r="F48" s="97">
        <f>B48/$B$43</f>
        <v>0.25391056201350637</v>
      </c>
      <c r="G48" s="97">
        <f>C48/$C$43</f>
        <v>0.29029130862662328</v>
      </c>
      <c r="H48" s="97">
        <f>D48/$D$43</f>
        <v>0.27497268749076365</v>
      </c>
      <c r="I48" s="98">
        <f>E48/$E$43</f>
        <v>0.26325463724689285</v>
      </c>
      <c r="J48" s="71">
        <f>C48/B48-1</f>
        <v>0.44976115141732076</v>
      </c>
      <c r="K48" s="71">
        <f>D48/C48-1</f>
        <v>-0.1709459602340534</v>
      </c>
      <c r="L48" s="72">
        <f>E48/D48-1</f>
        <v>-8.5845940851608793E-2</v>
      </c>
      <c r="N48" s="100" t="str">
        <f>N41</f>
        <v>Cotisations "Maladie" + IJ AMEXA</v>
      </c>
      <c r="O48" s="101">
        <f>'[1]COMPTES NSA OK'!$S$54+'[1]COMPTES NSA OK'!$S$55</f>
        <v>2.0838099000000003</v>
      </c>
      <c r="P48" s="101">
        <f>'[1]COMPTES NSA OK'!$T$54+'[1]COMPTES NSA OK'!$T$55</f>
        <v>0.43129746999999996</v>
      </c>
      <c r="Q48" s="101">
        <f>'[1]COMPTES NSA OK'!$U$54+'[1]COMPTES NSA OK'!$U$55</f>
        <v>0.66812909000000009</v>
      </c>
      <c r="R48" s="343">
        <f>'[1]COMPTES NSA OK'!$V$54+'[1]COMPTES NSA OK'!$V$55</f>
        <v>1.4067020100000001</v>
      </c>
      <c r="S48" s="97">
        <f>O48/$O$47</f>
        <v>8.7935811406234868E-2</v>
      </c>
      <c r="T48" s="97">
        <f>P48/$P$47</f>
        <v>2.4139083667676951E-2</v>
      </c>
      <c r="U48" s="103">
        <f>Q48/$Q$47</f>
        <v>3.0279488813661718E-2</v>
      </c>
      <c r="V48" s="104">
        <f>R48/$R$47</f>
        <v>5.1782798438306077E-2</v>
      </c>
      <c r="W48" s="71">
        <f t="shared" si="22"/>
        <v>-0.79302456044574898</v>
      </c>
      <c r="X48" s="105">
        <f t="shared" si="22"/>
        <v>0.54911432705598795</v>
      </c>
      <c r="Y48" s="106">
        <f t="shared" si="22"/>
        <v>1.1054344602777286</v>
      </c>
    </row>
    <row r="49" spans="1:29" x14ac:dyDescent="0.25">
      <c r="A49" s="65"/>
      <c r="B49" s="111"/>
      <c r="C49" s="111"/>
      <c r="D49" s="111"/>
      <c r="E49" s="420"/>
      <c r="F49" s="97"/>
      <c r="G49" s="97"/>
      <c r="H49" s="97"/>
      <c r="I49" s="98"/>
      <c r="J49" s="71"/>
      <c r="K49" s="71"/>
      <c r="L49" s="72"/>
      <c r="N49" s="100" t="s">
        <v>35</v>
      </c>
      <c r="O49" s="334">
        <v>0.32970652</v>
      </c>
      <c r="P49" s="334">
        <v>0.17322567999999999</v>
      </c>
      <c r="Q49" s="334">
        <v>0.23641461</v>
      </c>
      <c r="R49" s="343">
        <v>0.36675923999999999</v>
      </c>
      <c r="S49" s="97">
        <f>O49/$O$47</f>
        <v>1.3913462241505812E-2</v>
      </c>
      <c r="T49" s="97">
        <f>P49/$P$47</f>
        <v>9.6951859766537321E-3</v>
      </c>
      <c r="U49" s="103">
        <f>Q49/$Q$47</f>
        <v>1.0714267116974652E-2</v>
      </c>
      <c r="V49" s="104">
        <f>R49/$R$47</f>
        <v>1.3500954477420788E-2</v>
      </c>
      <c r="W49" s="71">
        <f t="shared" si="22"/>
        <v>-0.47460644696986887</v>
      </c>
      <c r="X49" s="105">
        <f t="shared" si="22"/>
        <v>0.3647780744748701</v>
      </c>
      <c r="Y49" s="106">
        <f t="shared" si="22"/>
        <v>0.55133914947134599</v>
      </c>
    </row>
    <row r="50" spans="1:29" x14ac:dyDescent="0.25">
      <c r="A50" s="80" t="s">
        <v>52</v>
      </c>
      <c r="B50" s="110">
        <f>SUM(B51:B55)</f>
        <v>468.51016916000003</v>
      </c>
      <c r="C50" s="110">
        <f>SUM(C51:C55)</f>
        <v>453.10900563999991</v>
      </c>
      <c r="D50" s="186">
        <f>SUM(D51:D55)</f>
        <v>436.29975950999994</v>
      </c>
      <c r="E50" s="186">
        <f>SUM(E51:E55)</f>
        <v>534.21964838999997</v>
      </c>
      <c r="F50" s="83">
        <f>B50/$B$57</f>
        <v>2.6670951705182376E-2</v>
      </c>
      <c r="G50" s="83">
        <f>C50/$C$57</f>
        <v>2.4571091899552654E-2</v>
      </c>
      <c r="H50" s="83">
        <f>D50/$D$57</f>
        <v>2.7035432407333367E-2</v>
      </c>
      <c r="I50" s="84">
        <f>E50/$E$57</f>
        <v>3.2068272190471328E-2</v>
      </c>
      <c r="J50" s="85">
        <f t="shared" ref="J50:L53" si="23">C50/B50-1</f>
        <v>-3.2872634435263448E-2</v>
      </c>
      <c r="K50" s="85">
        <f t="shared" si="23"/>
        <v>-3.7097576787858189E-2</v>
      </c>
      <c r="L50" s="86">
        <f t="shared" si="23"/>
        <v>0.22443259879393929</v>
      </c>
      <c r="N50" s="100" t="s">
        <v>37</v>
      </c>
      <c r="O50" s="334">
        <v>19.473646070000001</v>
      </c>
      <c r="P50" s="334">
        <v>16.905826269999999</v>
      </c>
      <c r="Q50" s="334">
        <v>20.271953490000001</v>
      </c>
      <c r="R50" s="343">
        <v>22.310291789999997</v>
      </c>
      <c r="S50" s="97">
        <f>O50/$O$47</f>
        <v>0.82177883318592859</v>
      </c>
      <c r="T50" s="97">
        <f>P50/$P$47</f>
        <v>0.94619417731047883</v>
      </c>
      <c r="U50" s="103">
        <f>Q50/$Q$47</f>
        <v>0.91872124432050339</v>
      </c>
      <c r="V50" s="104">
        <f>R50/$R$47</f>
        <v>0.82127510634705403</v>
      </c>
      <c r="W50" s="71">
        <f t="shared" si="22"/>
        <v>-0.13186127501597356</v>
      </c>
      <c r="X50" s="105">
        <f t="shared" si="22"/>
        <v>0.19911048216396954</v>
      </c>
      <c r="Y50" s="106">
        <f t="shared" si="22"/>
        <v>0.100549673271769</v>
      </c>
    </row>
    <row r="51" spans="1:29" x14ac:dyDescent="0.25">
      <c r="A51" s="65" t="str">
        <f>A44</f>
        <v>"Maladie-Maternité-Invalidité" + IJ AMEXA</v>
      </c>
      <c r="B51" s="111">
        <f>'[1]COMPTES NSA OK'!$C$57+'[1]COMPTES NSA OK'!$C$58</f>
        <v>214.54011567000001</v>
      </c>
      <c r="C51" s="111">
        <f>'[1]COMPTES NSA OK'!$D$57+'[1]COMPTES NSA OK'!$D$58</f>
        <v>194.84174231999998</v>
      </c>
      <c r="D51" s="111">
        <f>'[1]COMPTES NSA OK'!$E$57+'[1]COMPTES NSA OK'!$E$58</f>
        <v>190.59327306</v>
      </c>
      <c r="E51" s="344">
        <f>'[1]COMPTES NSA OK'!$F$57+'[1]COMPTES NSA OK'!$F$58</f>
        <v>189.49664781999999</v>
      </c>
      <c r="F51" s="97">
        <f>B51/$B$50</f>
        <v>0.45791986981766625</v>
      </c>
      <c r="G51" s="97">
        <f>C51/$C$50</f>
        <v>0.4300107477334138</v>
      </c>
      <c r="H51" s="97">
        <f>D51/$D$50</f>
        <v>0.43684019737726126</v>
      </c>
      <c r="I51" s="98">
        <f>E51/$E$50</f>
        <v>0.35471673194929076</v>
      </c>
      <c r="J51" s="71">
        <f t="shared" si="23"/>
        <v>-9.1816736876843774E-2</v>
      </c>
      <c r="K51" s="71">
        <f t="shared" si="23"/>
        <v>-2.1804718072282792E-2</v>
      </c>
      <c r="L51" s="72">
        <f t="shared" si="23"/>
        <v>-5.7537457770336919E-3</v>
      </c>
      <c r="N51" s="100" t="s">
        <v>39</v>
      </c>
      <c r="O51" s="334">
        <v>1.39236695</v>
      </c>
      <c r="P51" s="334">
        <v>0.16168924000000001</v>
      </c>
      <c r="Q51" s="334">
        <v>0.63772907000000001</v>
      </c>
      <c r="R51" s="343">
        <v>1.58161079</v>
      </c>
      <c r="S51" s="97">
        <f>O51/$O$5</f>
        <v>5.9468251634945009E-4</v>
      </c>
      <c r="T51" s="97">
        <f>P51/$P$5</f>
        <v>6.5420235042274171E-5</v>
      </c>
      <c r="U51" s="103">
        <f>Q51/$Q$5</f>
        <v>2.5549844817166054E-4</v>
      </c>
      <c r="V51" s="104">
        <f>R51/$R$5</f>
        <v>6.2089039164696781E-4</v>
      </c>
      <c r="W51" s="71">
        <f t="shared" si="22"/>
        <v>-0.88387454901884877</v>
      </c>
      <c r="X51" s="105">
        <f t="shared" si="22"/>
        <v>2.9441651775962332</v>
      </c>
      <c r="Y51" s="106">
        <f t="shared" si="22"/>
        <v>1.4800669506880091</v>
      </c>
    </row>
    <row r="52" spans="1:29" x14ac:dyDescent="0.25">
      <c r="A52" s="65" t="s">
        <v>36</v>
      </c>
      <c r="B52" s="335">
        <v>32.303913620000003</v>
      </c>
      <c r="C52" s="335">
        <v>30.0843186</v>
      </c>
      <c r="D52" s="335">
        <v>31.40341471</v>
      </c>
      <c r="E52" s="422">
        <v>133.67912658</v>
      </c>
      <c r="F52" s="97">
        <f>B52/$B$50</f>
        <v>6.8950293390468445E-2</v>
      </c>
      <c r="G52" s="97">
        <f>C52/$C$50</f>
        <v>6.6395322594630407E-2</v>
      </c>
      <c r="H52" s="97">
        <f>D52/$D$50</f>
        <v>7.1976694979773964E-2</v>
      </c>
      <c r="I52" s="98">
        <f>E52/$E$50</f>
        <v>0.25023251575054262</v>
      </c>
      <c r="J52" s="71">
        <f t="shared" si="23"/>
        <v>-6.8709786873185741E-2</v>
      </c>
      <c r="K52" s="71">
        <f t="shared" si="23"/>
        <v>4.3846634106580629E-2</v>
      </c>
      <c r="L52" s="72">
        <f t="shared" si="23"/>
        <v>3.2568340995551566</v>
      </c>
      <c r="N52" s="100" t="s">
        <v>41</v>
      </c>
      <c r="O52" s="334">
        <v>0.41741344000000002</v>
      </c>
      <c r="P52" s="334">
        <v>0.19514619</v>
      </c>
      <c r="Q52" s="334">
        <v>0.25117563999999998</v>
      </c>
      <c r="R52" s="343">
        <v>1.5000666300000001</v>
      </c>
      <c r="S52" s="97">
        <f>O52/$O$47</f>
        <v>1.7614653591130233E-2</v>
      </c>
      <c r="T52" s="97">
        <f>P52/$P$47</f>
        <v>1.0922044610737881E-2</v>
      </c>
      <c r="U52" s="103">
        <f>Q52/$Q$47</f>
        <v>1.1383234311268083E-2</v>
      </c>
      <c r="V52" s="104">
        <f>R52/$R$47</f>
        <v>5.5219689310971452E-2</v>
      </c>
      <c r="W52" s="71">
        <f t="shared" si="22"/>
        <v>-0.5324870468952797</v>
      </c>
      <c r="X52" s="105">
        <f t="shared" si="22"/>
        <v>0.28711526471513471</v>
      </c>
      <c r="Y52" s="106">
        <f t="shared" si="22"/>
        <v>4.9721819759272838</v>
      </c>
    </row>
    <row r="53" spans="1:29" x14ac:dyDescent="0.25">
      <c r="A53" s="65" t="s">
        <v>38</v>
      </c>
      <c r="B53" s="335">
        <v>93.855341760000002</v>
      </c>
      <c r="C53" s="335">
        <v>96.079236379999998</v>
      </c>
      <c r="D53" s="335">
        <v>99.739544800000004</v>
      </c>
      <c r="E53" s="422">
        <v>98.059029899999999</v>
      </c>
      <c r="F53" s="97">
        <f>B53/$B$50</f>
        <v>0.20032722433383862</v>
      </c>
      <c r="G53" s="97">
        <f>C53/$C$50</f>
        <v>0.21204442018161079</v>
      </c>
      <c r="H53" s="97">
        <f>D53/$D$50</f>
        <v>0.22860325412971946</v>
      </c>
      <c r="I53" s="98">
        <f>E53/$E$50</f>
        <v>0.18355564082213111</v>
      </c>
      <c r="J53" s="71">
        <f t="shared" si="23"/>
        <v>2.369491792685352E-2</v>
      </c>
      <c r="K53" s="71">
        <f t="shared" si="23"/>
        <v>3.8096768437284823E-2</v>
      </c>
      <c r="L53" s="72">
        <f t="shared" si="23"/>
        <v>-1.6849033183075068E-2</v>
      </c>
      <c r="N53" s="100"/>
      <c r="O53" s="101"/>
      <c r="P53" s="101"/>
      <c r="Q53" s="101"/>
      <c r="R53" s="401"/>
      <c r="S53" s="97"/>
      <c r="T53" s="97"/>
      <c r="U53" s="103"/>
      <c r="V53" s="104"/>
      <c r="W53" s="71"/>
      <c r="X53" s="105"/>
      <c r="Y53" s="106"/>
    </row>
    <row r="54" spans="1:29" x14ac:dyDescent="0.25">
      <c r="A54" s="65" t="s">
        <v>40</v>
      </c>
      <c r="B54" s="334">
        <v>16.250279499999998</v>
      </c>
      <c r="C54" s="334">
        <v>15.368800149999998</v>
      </c>
      <c r="D54" s="334">
        <v>15.314639069999998</v>
      </c>
      <c r="E54" s="423">
        <v>15.19520571</v>
      </c>
      <c r="F54" s="97">
        <f>B54/$B$5</f>
        <v>1.10027177715226E-3</v>
      </c>
      <c r="G54" s="97">
        <f>C54/$B$5</f>
        <v>1.0405886897968998E-3</v>
      </c>
      <c r="H54" s="97">
        <f>D54/$B$5</f>
        <v>1.0369215585488442E-3</v>
      </c>
      <c r="I54" s="98">
        <f>E54/$B$5</f>
        <v>1.0288349803913139E-3</v>
      </c>
      <c r="J54" s="71">
        <f>(C54-B54)/B54</f>
        <v>-5.4243950080981651E-2</v>
      </c>
      <c r="K54" s="71">
        <f>D54/C54-1</f>
        <v>-3.524092933175349E-3</v>
      </c>
      <c r="L54" s="72">
        <f>E54/D54-1</f>
        <v>-7.7986402065431948E-3</v>
      </c>
      <c r="N54" s="88" t="s">
        <v>51</v>
      </c>
      <c r="O54" s="185">
        <f t="shared" ref="O54:Q54" si="24">SUM(O55:O59)</f>
        <v>60.526701890000005</v>
      </c>
      <c r="P54" s="185">
        <f t="shared" si="24"/>
        <v>58.333930530000004</v>
      </c>
      <c r="Q54" s="185">
        <f t="shared" si="24"/>
        <v>59.907608959999997</v>
      </c>
      <c r="R54" s="185">
        <f>SUM(R55:R59)</f>
        <v>176.44104667999997</v>
      </c>
      <c r="S54" s="83">
        <f>O54/$O$75</f>
        <v>3.4272532469716809E-3</v>
      </c>
      <c r="T54" s="83">
        <f>P54/$P$75</f>
        <v>3.1636406571926797E-3</v>
      </c>
      <c r="U54" s="89">
        <f>Q54/$Q$75</f>
        <v>3.5917468452629116E-3</v>
      </c>
      <c r="V54" s="90">
        <f>R54/$R$75</f>
        <v>1.0475569575432915E-2</v>
      </c>
      <c r="W54" s="85">
        <f t="shared" ref="W54:Y59" si="25">P54/O54-1</f>
        <v>-3.6228165281252278E-2</v>
      </c>
      <c r="X54" s="91">
        <f t="shared" si="25"/>
        <v>2.6977068332309395E-2</v>
      </c>
      <c r="Y54" s="92">
        <f t="shared" si="25"/>
        <v>1.9452193092501613</v>
      </c>
    </row>
    <row r="55" spans="1:29" x14ac:dyDescent="0.25">
      <c r="A55" s="65" t="s">
        <v>42</v>
      </c>
      <c r="B55" s="335">
        <v>111.56051861</v>
      </c>
      <c r="C55" s="335">
        <v>116.73490819</v>
      </c>
      <c r="D55" s="335">
        <v>99.248887870000004</v>
      </c>
      <c r="E55" s="422">
        <v>97.78963838</v>
      </c>
      <c r="F55" s="97">
        <f>B55/$B$50</f>
        <v>0.23811760331695422</v>
      </c>
      <c r="G55" s="97">
        <f>C55/$C$50</f>
        <v>0.25763096018168125</v>
      </c>
      <c r="H55" s="97">
        <f>D55/$D$50</f>
        <v>0.22747866737644909</v>
      </c>
      <c r="I55" s="98">
        <f>E55/$E$50</f>
        <v>0.18305136974035438</v>
      </c>
      <c r="J55" s="71">
        <f>C55/B55-1</f>
        <v>4.6381906829323194E-2</v>
      </c>
      <c r="K55" s="71">
        <f>D55/C55-1</f>
        <v>-0.14979255640942823</v>
      </c>
      <c r="L55" s="72">
        <f>E55/D55-1</f>
        <v>-1.4702930393652225E-2</v>
      </c>
      <c r="N55" s="100" t="str">
        <f>N48</f>
        <v>Cotisations "Maladie" + IJ AMEXA</v>
      </c>
      <c r="O55" s="101">
        <f>'[1]COMPTES NSA OK'!$S$62+'[1]COMPTES NSA OK'!$S$63</f>
        <v>23.416687370000002</v>
      </c>
      <c r="P55" s="101">
        <f>'[1]COMPTES NSA OK'!$T$62+'[1]COMPTES NSA OK'!$T$63</f>
        <v>31.360058540000001</v>
      </c>
      <c r="Q55" s="101">
        <f>'[1]COMPTES NSA OK'!$U$62+'[1]COMPTES NSA OK'!$U$63</f>
        <v>21.939582939999998</v>
      </c>
      <c r="R55" s="343">
        <f>'[1]COMPTES NSA OK'!$V$62+'[1]COMPTES NSA OK'!$V$63</f>
        <v>27.307187150000001</v>
      </c>
      <c r="S55" s="97">
        <f>O55/$O$54</f>
        <v>0.38688193208605703</v>
      </c>
      <c r="T55" s="97">
        <f>P55/$P$54</f>
        <v>0.53759549982444843</v>
      </c>
      <c r="U55" s="103">
        <f>Q55/$Q$54</f>
        <v>0.36622364539117136</v>
      </c>
      <c r="V55" s="104">
        <f>R55/$R$54</f>
        <v>0.15476663545034014</v>
      </c>
      <c r="W55" s="71">
        <f t="shared" si="25"/>
        <v>0.33921839773872331</v>
      </c>
      <c r="X55" s="105">
        <f t="shared" si="25"/>
        <v>-0.30039725812323059</v>
      </c>
      <c r="Y55" s="106">
        <f t="shared" si="25"/>
        <v>0.2446538853851159</v>
      </c>
    </row>
    <row r="56" spans="1:29" x14ac:dyDescent="0.25">
      <c r="A56" s="65"/>
      <c r="B56" s="111"/>
      <c r="C56" s="111"/>
      <c r="D56" s="111"/>
      <c r="E56" s="420"/>
      <c r="F56" s="97"/>
      <c r="G56" s="97"/>
      <c r="H56" s="97"/>
      <c r="I56" s="98"/>
      <c r="J56" s="71"/>
      <c r="K56" s="71"/>
      <c r="L56" s="72"/>
      <c r="N56" s="100" t="s">
        <v>35</v>
      </c>
      <c r="O56" s="334">
        <v>10.200879</v>
      </c>
      <c r="P56" s="334">
        <v>7.1149377299999994</v>
      </c>
      <c r="Q56" s="334">
        <v>11.70830291</v>
      </c>
      <c r="R56" s="343">
        <v>17.551524839999999</v>
      </c>
      <c r="S56" s="97">
        <f>O56/$O$54</f>
        <v>0.16853518664438169</v>
      </c>
      <c r="T56" s="97">
        <f>P56/$P$54</f>
        <v>0.12196911240775941</v>
      </c>
      <c r="U56" s="103">
        <f>Q56/$Q$54</f>
        <v>0.19543932921471752</v>
      </c>
      <c r="V56" s="104">
        <f>R56/$R$54</f>
        <v>9.947529313761154E-2</v>
      </c>
      <c r="W56" s="71">
        <f t="shared" si="25"/>
        <v>-0.30251719190081572</v>
      </c>
      <c r="X56" s="105">
        <f t="shared" si="25"/>
        <v>0.64559457219592575</v>
      </c>
      <c r="Y56" s="106">
        <f t="shared" si="25"/>
        <v>0.49906651501212296</v>
      </c>
    </row>
    <row r="57" spans="1:29" x14ac:dyDescent="0.25">
      <c r="A57" s="126" t="s">
        <v>54</v>
      </c>
      <c r="B57" s="187">
        <f>B5+B27+B29+B36+B43+B50</f>
        <v>17566.308631910004</v>
      </c>
      <c r="C57" s="187">
        <f>C5+C27+C29+C36+C43+C50</f>
        <v>18440.735458249997</v>
      </c>
      <c r="D57" s="187">
        <f>D5+D27+D29+D36+D43+D50</f>
        <v>16138.072176410004</v>
      </c>
      <c r="E57" s="187">
        <f>E5+E27+E29+E36+E43+E50</f>
        <v>16658.82231562</v>
      </c>
      <c r="F57" s="128">
        <f>F50+F43+F36+F29+F27+F5</f>
        <v>0.99999999999999978</v>
      </c>
      <c r="G57" s="128">
        <f>G50+G43+G36+G29+G27+G5</f>
        <v>1.0000000000000002</v>
      </c>
      <c r="H57" s="128">
        <f>H50+H43+H36+H29+H27+H5</f>
        <v>0.99999999999999989</v>
      </c>
      <c r="I57" s="129">
        <f>I50+I43+I36+I29+I27+I5</f>
        <v>1</v>
      </c>
      <c r="J57" s="130">
        <f t="shared" ref="J57:L58" si="26">C57/B57-1</f>
        <v>4.9778632760189456E-2</v>
      </c>
      <c r="K57" s="130">
        <f t="shared" si="26"/>
        <v>-0.12486829969733293</v>
      </c>
      <c r="L57" s="131">
        <f t="shared" si="26"/>
        <v>3.2268422988664502E-2</v>
      </c>
      <c r="N57" s="100" t="s">
        <v>37</v>
      </c>
      <c r="O57" s="334">
        <v>13.79942215</v>
      </c>
      <c r="P57" s="334">
        <v>11.672844410000002</v>
      </c>
      <c r="Q57" s="334">
        <v>13.679659390000001</v>
      </c>
      <c r="R57" s="343">
        <v>115.06706636999999</v>
      </c>
      <c r="S57" s="97">
        <f>O57/$O$54</f>
        <v>0.22798899855932656</v>
      </c>
      <c r="T57" s="97">
        <f>P57/$P$54</f>
        <v>0.20010385557676222</v>
      </c>
      <c r="U57" s="103">
        <f>Q57/$Q$54</f>
        <v>0.22834594181740486</v>
      </c>
      <c r="V57" s="104">
        <f>R57/$R$54</f>
        <v>0.65215588172456207</v>
      </c>
      <c r="W57" s="71">
        <f t="shared" si="25"/>
        <v>-0.15410628915356417</v>
      </c>
      <c r="X57" s="105">
        <f t="shared" si="25"/>
        <v>0.17192167645794898</v>
      </c>
      <c r="Y57" s="106">
        <f t="shared" si="25"/>
        <v>7.411544694900476</v>
      </c>
    </row>
    <row r="58" spans="1:29" x14ac:dyDescent="0.25">
      <c r="A58" s="132" t="s">
        <v>55</v>
      </c>
      <c r="B58" s="196">
        <f t="shared" ref="B58" si="27">O75-B57</f>
        <v>94.102644519996829</v>
      </c>
      <c r="C58" s="196">
        <f>P75-C57</f>
        <v>-1.8743956399994204</v>
      </c>
      <c r="D58" s="196">
        <f t="shared" ref="D58:E58" si="28">Q75-D57</f>
        <v>541.1681879299922</v>
      </c>
      <c r="E58" s="402">
        <f t="shared" si="28"/>
        <v>184.27584810999906</v>
      </c>
      <c r="F58" s="69"/>
      <c r="G58" s="69"/>
      <c r="H58" s="69"/>
      <c r="I58" s="70"/>
      <c r="J58" s="403">
        <f t="shared" si="26"/>
        <v>-1.0199186287437556</v>
      </c>
      <c r="K58" s="403">
        <f t="shared" si="26"/>
        <v>-289.71609407401286</v>
      </c>
      <c r="L58" s="404">
        <f t="shared" si="26"/>
        <v>-0.65948506911526406</v>
      </c>
      <c r="N58" s="100" t="s">
        <v>39</v>
      </c>
      <c r="O58" s="334">
        <v>7.0211109999999993E-2</v>
      </c>
      <c r="P58" s="334">
        <v>7.2699250000000007E-2</v>
      </c>
      <c r="Q58" s="334">
        <v>6.2187439999999997E-2</v>
      </c>
      <c r="R58" s="343">
        <v>6.4879580000000006E-2</v>
      </c>
      <c r="S58" s="97">
        <f>O58/$O$5</f>
        <v>2.9987295784698159E-5</v>
      </c>
      <c r="T58" s="97">
        <f>P58/$P$5</f>
        <v>2.9414462102716606E-5</v>
      </c>
      <c r="U58" s="103">
        <f>Q58/$Q$5</f>
        <v>2.4914646615949701E-5</v>
      </c>
      <c r="V58" s="104">
        <f>R58/$R$5</f>
        <v>2.5469671862880234E-5</v>
      </c>
      <c r="W58" s="71">
        <f t="shared" si="25"/>
        <v>3.5437981253964246E-2</v>
      </c>
      <c r="X58" s="105">
        <f t="shared" si="25"/>
        <v>-0.1445931010292405</v>
      </c>
      <c r="Y58" s="106">
        <f t="shared" si="25"/>
        <v>4.3290735235282485E-2</v>
      </c>
      <c r="AC58" t="s">
        <v>176</v>
      </c>
    </row>
    <row r="59" spans="1:29" x14ac:dyDescent="0.25">
      <c r="A59" s="133"/>
      <c r="B59" s="134"/>
      <c r="C59" s="134"/>
      <c r="D59" s="135"/>
      <c r="E59" s="134"/>
      <c r="F59" s="124"/>
      <c r="G59" s="124"/>
      <c r="H59" s="124"/>
      <c r="I59" s="136"/>
      <c r="J59" s="137"/>
      <c r="N59" s="100" t="s">
        <v>41</v>
      </c>
      <c r="O59" s="334">
        <v>13.039502260000001</v>
      </c>
      <c r="P59" s="334">
        <v>8.1133906000000007</v>
      </c>
      <c r="Q59" s="334">
        <v>12.517876280000001</v>
      </c>
      <c r="R59" s="343">
        <v>16.450388740000001</v>
      </c>
      <c r="S59" s="97">
        <f>O59/$O$54</f>
        <v>0.21543388046647124</v>
      </c>
      <c r="T59" s="97">
        <f>P59/$P$54</f>
        <v>0.13908527209267069</v>
      </c>
      <c r="U59" s="103">
        <f>Q59/$Q$54</f>
        <v>0.20895302779248162</v>
      </c>
      <c r="V59" s="104">
        <f>R59/$R$54</f>
        <v>9.3234477178289685E-2</v>
      </c>
      <c r="W59" s="71">
        <f t="shared" si="25"/>
        <v>-0.37778371917702325</v>
      </c>
      <c r="X59" s="105">
        <f t="shared" si="25"/>
        <v>0.54286621921049871</v>
      </c>
      <c r="Y59" s="106">
        <f t="shared" si="25"/>
        <v>0.31415172766030874</v>
      </c>
    </row>
    <row r="60" spans="1:29" x14ac:dyDescent="0.25">
      <c r="A60" s="133"/>
      <c r="B60" s="134"/>
      <c r="C60" s="134"/>
      <c r="D60" s="135"/>
      <c r="E60" s="140"/>
      <c r="F60" s="124"/>
      <c r="G60" s="124"/>
      <c r="H60" s="124"/>
      <c r="I60" s="136"/>
      <c r="J60" s="137"/>
      <c r="N60" s="100"/>
      <c r="O60" s="101"/>
      <c r="P60" s="101"/>
      <c r="Q60" s="101"/>
      <c r="R60" s="401"/>
      <c r="S60" s="97"/>
      <c r="T60" s="97"/>
      <c r="U60" s="103"/>
      <c r="V60" s="104"/>
      <c r="W60" s="71"/>
      <c r="X60" s="105"/>
      <c r="Y60" s="106"/>
    </row>
    <row r="61" spans="1:29" x14ac:dyDescent="0.25">
      <c r="A61" s="133" t="s">
        <v>110</v>
      </c>
      <c r="B61" s="226">
        <f>D3</f>
        <v>2021</v>
      </c>
      <c r="C61" s="226">
        <f>E3</f>
        <v>2022</v>
      </c>
      <c r="D61" s="135"/>
      <c r="E61" s="140"/>
      <c r="F61" s="124"/>
      <c r="G61" s="124"/>
      <c r="H61" s="124"/>
      <c r="I61" s="136"/>
      <c r="J61" s="137"/>
      <c r="N61" s="88" t="s">
        <v>53</v>
      </c>
      <c r="O61" s="81">
        <f t="shared" ref="O61:Q61" si="29">SUM(O62:O66)</f>
        <v>53.673584890000001</v>
      </c>
      <c r="P61" s="81">
        <f t="shared" si="29"/>
        <v>83.044556690000007</v>
      </c>
      <c r="Q61" s="81">
        <f t="shared" si="29"/>
        <v>117.99386844999999</v>
      </c>
      <c r="R61" s="81">
        <f>SUM(R62:R66)</f>
        <v>0</v>
      </c>
      <c r="S61" s="83">
        <f>O61/$O$75</f>
        <v>3.039203563828325E-3</v>
      </c>
      <c r="T61" s="83">
        <f>P61/$P$75</f>
        <v>4.5037790787629678E-3</v>
      </c>
      <c r="U61" s="89">
        <f>Q61/$Q$75</f>
        <v>7.0742951041265281E-3</v>
      </c>
      <c r="V61" s="90">
        <f>R61/$R$75</f>
        <v>0</v>
      </c>
      <c r="W61" s="85">
        <f t="shared" ref="W61:Y66" si="30">P61/O61-1</f>
        <v>0.54721464683593646</v>
      </c>
      <c r="X61" s="91">
        <f t="shared" si="30"/>
        <v>0.42085012134465982</v>
      </c>
      <c r="Y61" s="92">
        <f t="shared" si="30"/>
        <v>-1</v>
      </c>
    </row>
    <row r="62" spans="1:29" x14ac:dyDescent="0.25">
      <c r="A62" s="133"/>
      <c r="B62" s="228"/>
      <c r="C62" s="228"/>
      <c r="D62" s="135"/>
      <c r="E62" s="140"/>
      <c r="F62" s="124"/>
      <c r="G62" s="124"/>
      <c r="H62" s="124"/>
      <c r="I62" s="136"/>
      <c r="J62" s="137"/>
      <c r="N62" s="100" t="str">
        <f>N55</f>
        <v>Cotisations "Maladie" + IJ AMEXA</v>
      </c>
      <c r="O62" s="101">
        <f>'[1]COMPTES NSA OK'!$S$70+'[1]COMPTES NSA OK'!$S$71</f>
        <v>3.1772909500000002</v>
      </c>
      <c r="P62" s="101">
        <f>'[1]COMPTES NSA OK'!$T$70+'[1]COMPTES NSA OK'!$T$71</f>
        <v>1.9179515399999998</v>
      </c>
      <c r="Q62" s="101">
        <f>'[1]COMPTES NSA OK'!$U$70+'[1]COMPTES NSA OK'!$U$71</f>
        <v>1.20162222</v>
      </c>
      <c r="R62" s="343">
        <f>'[1]COMPTES NSA OK'!$V$70+'[1]COMPTES NSA OK'!$V$71</f>
        <v>0</v>
      </c>
      <c r="S62" s="97">
        <f>O62/$O$61</f>
        <v>5.9196548106701281E-2</v>
      </c>
      <c r="T62" s="97">
        <f>P62/$P$61</f>
        <v>2.3095451603885243E-2</v>
      </c>
      <c r="U62" s="103">
        <f>Q62/$Q$61</f>
        <v>1.0183768324446354E-2</v>
      </c>
      <c r="V62" s="104" t="e">
        <f>R62/$R$61</f>
        <v>#DIV/0!</v>
      </c>
      <c r="W62" s="71">
        <f t="shared" si="30"/>
        <v>-0.39635633935255454</v>
      </c>
      <c r="X62" s="105">
        <f t="shared" si="30"/>
        <v>-0.3734866627547847</v>
      </c>
      <c r="Y62" s="106">
        <f t="shared" si="30"/>
        <v>-1</v>
      </c>
    </row>
    <row r="63" spans="1:29" x14ac:dyDescent="0.25">
      <c r="A63" s="133" t="s">
        <v>111</v>
      </c>
      <c r="B63" s="227" t="b">
        <f>D57='[3]COMPTES NSA OK'!$E$64</f>
        <v>0</v>
      </c>
      <c r="C63" s="229" t="b">
        <f>E57='[3]COMPTES NSA OK'!$F$64</f>
        <v>0</v>
      </c>
      <c r="N63" s="100" t="s">
        <v>35</v>
      </c>
      <c r="O63" s="334">
        <v>1.5675607899999999</v>
      </c>
      <c r="P63" s="334">
        <v>1.03024118</v>
      </c>
      <c r="Q63" s="334">
        <v>0.68858424000000007</v>
      </c>
      <c r="R63" s="343">
        <v>0</v>
      </c>
      <c r="S63" s="97">
        <f>O63/$O$61</f>
        <v>2.9205442364481495E-2</v>
      </c>
      <c r="T63" s="97">
        <f>P63/$P$61</f>
        <v>1.2405884516258231E-2</v>
      </c>
      <c r="U63" s="103">
        <f>Q63/$Q$61</f>
        <v>5.8357629006102829E-3</v>
      </c>
      <c r="V63" s="104" t="e">
        <f>R63/$R$61</f>
        <v>#DIV/0!</v>
      </c>
      <c r="W63" s="71">
        <f t="shared" si="30"/>
        <v>-0.34277433668138635</v>
      </c>
      <c r="X63" s="105">
        <f t="shared" si="30"/>
        <v>-0.33162811449645213</v>
      </c>
      <c r="Y63" s="106">
        <f t="shared" si="30"/>
        <v>-1</v>
      </c>
    </row>
    <row r="64" spans="1:29" x14ac:dyDescent="0.25">
      <c r="B64" s="142"/>
      <c r="C64" s="143"/>
      <c r="N64" s="100" t="s">
        <v>37</v>
      </c>
      <c r="O64" s="334">
        <v>46.417810729999999</v>
      </c>
      <c r="P64" s="334">
        <v>78.626593150000019</v>
      </c>
      <c r="Q64" s="334">
        <v>115.09976282999999</v>
      </c>
      <c r="R64" s="343">
        <v>0</v>
      </c>
      <c r="S64" s="97">
        <f>O64/$O$61</f>
        <v>0.86481666587260442</v>
      </c>
      <c r="T64" s="97">
        <f>P64/$P$61</f>
        <v>0.94680008279781702</v>
      </c>
      <c r="U64" s="103">
        <f>Q64/$Q$61</f>
        <v>0.97547240667656909</v>
      </c>
      <c r="V64" s="104" t="e">
        <f>R64/$R$61</f>
        <v>#DIV/0!</v>
      </c>
      <c r="W64" s="71">
        <f t="shared" si="30"/>
        <v>0.69388844310969122</v>
      </c>
      <c r="X64" s="105">
        <f t="shared" si="30"/>
        <v>0.46387829128521707</v>
      </c>
      <c r="Y64" s="106">
        <f t="shared" si="30"/>
        <v>-1</v>
      </c>
    </row>
    <row r="65" spans="1:25" x14ac:dyDescent="0.25">
      <c r="A65" s="133" t="s">
        <v>112</v>
      </c>
      <c r="B65" s="226">
        <f>B61</f>
        <v>2021</v>
      </c>
      <c r="C65" s="226">
        <f>C61</f>
        <v>2022</v>
      </c>
      <c r="N65" s="100" t="s">
        <v>39</v>
      </c>
      <c r="O65" s="334">
        <v>5.524983E-2</v>
      </c>
      <c r="P65" s="334">
        <v>2.8855430000000001E-2</v>
      </c>
      <c r="Q65" s="334">
        <v>4.5097869999999998E-2</v>
      </c>
      <c r="R65" s="343">
        <v>0</v>
      </c>
      <c r="S65" s="97">
        <f>O65/$O$5</f>
        <v>2.3597305245057229E-5</v>
      </c>
      <c r="T65" s="97">
        <f>P65/$P$5</f>
        <v>1.167504413309067E-5</v>
      </c>
      <c r="U65" s="103">
        <f>Q65/$Q$5</f>
        <v>1.8067916836294264E-5</v>
      </c>
      <c r="V65" s="104">
        <f>R65/$R$5</f>
        <v>0</v>
      </c>
      <c r="W65" s="71">
        <f t="shared" si="30"/>
        <v>-0.47772816676539998</v>
      </c>
      <c r="X65" s="105">
        <f t="shared" si="30"/>
        <v>0.5628902428416418</v>
      </c>
      <c r="Y65" s="106">
        <f t="shared" si="30"/>
        <v>-1</v>
      </c>
    </row>
    <row r="66" spans="1:25" x14ac:dyDescent="0.25">
      <c r="A66" s="133"/>
      <c r="B66" s="228"/>
      <c r="C66" s="228"/>
      <c r="N66" s="100" t="s">
        <v>41</v>
      </c>
      <c r="O66" s="334">
        <v>2.4556725899999998</v>
      </c>
      <c r="P66" s="334">
        <v>1.4409153899999998</v>
      </c>
      <c r="Q66" s="334">
        <v>0.95880129000000003</v>
      </c>
      <c r="R66" s="343">
        <v>0</v>
      </c>
      <c r="S66" s="97">
        <f>O66/$O$61</f>
        <v>4.575197641507861E-2</v>
      </c>
      <c r="T66" s="97">
        <f>P66/$P$61</f>
        <v>1.7351111829988379E-2</v>
      </c>
      <c r="U66" s="103">
        <f>Q66/$Q$61</f>
        <v>8.1258568991344916E-3</v>
      </c>
      <c r="V66" s="104" t="e">
        <f>R66/$R$61</f>
        <v>#DIV/0!</v>
      </c>
      <c r="W66" s="71">
        <f t="shared" si="30"/>
        <v>-0.41322984347844194</v>
      </c>
      <c r="X66" s="105">
        <f t="shared" si="30"/>
        <v>-0.33458876443813945</v>
      </c>
      <c r="Y66" s="106">
        <f t="shared" si="30"/>
        <v>-1</v>
      </c>
    </row>
    <row r="67" spans="1:25" x14ac:dyDescent="0.25">
      <c r="A67" s="133" t="s">
        <v>111</v>
      </c>
      <c r="B67" s="227" t="b">
        <f>Q75='[3]COMPTES NSA OK'!$U$85</f>
        <v>0</v>
      </c>
      <c r="C67" s="229" t="b">
        <f>R75='[3]COMPTES NSA OK'!$V$85</f>
        <v>0</v>
      </c>
      <c r="N67" s="100"/>
      <c r="O67" s="101"/>
      <c r="P67" s="101"/>
      <c r="Q67" s="101"/>
      <c r="R67" s="401"/>
      <c r="S67" s="97"/>
      <c r="T67" s="97"/>
      <c r="U67" s="103"/>
      <c r="V67" s="104"/>
      <c r="W67" s="71"/>
      <c r="X67" s="105"/>
      <c r="Y67" s="106"/>
    </row>
    <row r="68" spans="1:25" x14ac:dyDescent="0.25">
      <c r="B68" s="147"/>
      <c r="C68" s="143"/>
      <c r="N68" s="88" t="s">
        <v>56</v>
      </c>
      <c r="O68" s="185">
        <f t="shared" ref="O68:P68" si="31">SUM(O69:O73)</f>
        <v>928.29087428999992</v>
      </c>
      <c r="P68" s="185">
        <f t="shared" si="31"/>
        <v>922.80964382000002</v>
      </c>
      <c r="Q68" s="185">
        <f>SUM(Q69:Q73)</f>
        <v>1217.1753329600001</v>
      </c>
      <c r="R68" s="185">
        <f>SUM(R69:R73)</f>
        <v>1144.23661537</v>
      </c>
      <c r="S68" s="83">
        <f>O68/$O$75</f>
        <v>5.2563378041423005E-2</v>
      </c>
      <c r="T68" s="83">
        <f>P68/$P$75</f>
        <v>5.0046998059509074E-2</v>
      </c>
      <c r="U68" s="89">
        <f>Q68/$Q$75</f>
        <v>7.2975465691009864E-2</v>
      </c>
      <c r="V68" s="90">
        <f>R68/$R$75</f>
        <v>6.7935044030913744E-2</v>
      </c>
      <c r="W68" s="85">
        <f t="shared" ref="W68:Y73" si="32">P68/O68-1</f>
        <v>-5.9046475860189407E-3</v>
      </c>
      <c r="X68" s="91">
        <f t="shared" si="32"/>
        <v>0.31898852716955139</v>
      </c>
      <c r="Y68" s="92">
        <f t="shared" si="32"/>
        <v>-5.9924577515569122E-2</v>
      </c>
    </row>
    <row r="69" spans="1:25" x14ac:dyDescent="0.25">
      <c r="N69" s="100" t="str">
        <f>N62</f>
        <v>Cotisations "Maladie" + IJ AMEXA</v>
      </c>
      <c r="O69" s="101">
        <f>'[1]COMPTES NSA OK'!$S$78+'[1]COMPTES NSA OK'!$S$79</f>
        <v>409.57044756999994</v>
      </c>
      <c r="P69" s="101">
        <f>'[1]COMPTES NSA OK'!$T$78+'[1]COMPTES NSA OK'!$T$79</f>
        <v>410.81440177999991</v>
      </c>
      <c r="Q69" s="101">
        <f>'[1]COMPTES NSA OK'!$U$78+'[1]COMPTES NSA OK'!$U$79</f>
        <v>518.73040925000009</v>
      </c>
      <c r="R69" s="343">
        <f>'[1]COMPTES NSA OK'!$V$78+'[1]COMPTES NSA OK'!$V$79</f>
        <v>483.20024715</v>
      </c>
      <c r="S69" s="97">
        <f>O69/$O$68</f>
        <v>0.44120917151454114</v>
      </c>
      <c r="T69" s="97">
        <f>P69/$P$68</f>
        <v>0.44517783763011032</v>
      </c>
      <c r="U69" s="103">
        <f>Q69/$Q$68</f>
        <v>0.42617558473561923</v>
      </c>
      <c r="V69" s="104">
        <f>R69/$R$68</f>
        <v>0.42229049539177044</v>
      </c>
      <c r="W69" s="71">
        <f t="shared" si="32"/>
        <v>3.0372167166365927E-3</v>
      </c>
      <c r="X69" s="105">
        <f t="shared" si="32"/>
        <v>0.26268798513979941</v>
      </c>
      <c r="Y69" s="106">
        <f t="shared" si="32"/>
        <v>-6.8494465461107157E-2</v>
      </c>
    </row>
    <row r="70" spans="1:25" x14ac:dyDescent="0.25">
      <c r="N70" s="100" t="s">
        <v>35</v>
      </c>
      <c r="O70" s="334">
        <v>71.242833759999996</v>
      </c>
      <c r="P70" s="334">
        <v>65.871291039999988</v>
      </c>
      <c r="Q70" s="334">
        <v>80.103165300000001</v>
      </c>
      <c r="R70" s="343">
        <v>127.94261548</v>
      </c>
      <c r="S70" s="97">
        <f>O70/$O$68</f>
        <v>7.6746239495772084E-2</v>
      </c>
      <c r="T70" s="97">
        <f>P70/$P$68</f>
        <v>7.1381233910087535E-2</v>
      </c>
      <c r="U70" s="103">
        <f>Q70/$Q$68</f>
        <v>6.5810703791704617E-2</v>
      </c>
      <c r="V70" s="104">
        <f>R70/$R$68</f>
        <v>0.11181482375358921</v>
      </c>
      <c r="W70" s="71">
        <f t="shared" si="32"/>
        <v>-7.5397656669517699E-2</v>
      </c>
      <c r="X70" s="105">
        <f t="shared" si="32"/>
        <v>0.21605579661946783</v>
      </c>
      <c r="Y70" s="106">
        <f t="shared" si="32"/>
        <v>0.59722296866588365</v>
      </c>
    </row>
    <row r="71" spans="1:25" x14ac:dyDescent="0.25">
      <c r="N71" s="100" t="s">
        <v>37</v>
      </c>
      <c r="O71" s="334">
        <v>104.44443881999999</v>
      </c>
      <c r="P71" s="334">
        <v>86.890690430000006</v>
      </c>
      <c r="Q71" s="334">
        <v>110.60471897999999</v>
      </c>
      <c r="R71" s="343">
        <v>107.73623636000001</v>
      </c>
      <c r="S71" s="97">
        <f>O71/$O$68</f>
        <v>0.11251262046487741</v>
      </c>
      <c r="T71" s="97">
        <f>P71/$P$68</f>
        <v>9.4158845230868218E-2</v>
      </c>
      <c r="U71" s="103">
        <f>Q71/$Q$68</f>
        <v>9.0869997103067132E-2</v>
      </c>
      <c r="V71" s="104">
        <f>R71/$R$68</f>
        <v>9.4155557437010054E-2</v>
      </c>
      <c r="W71" s="71">
        <f t="shared" si="32"/>
        <v>-0.16806781278467287</v>
      </c>
      <c r="X71" s="105">
        <f t="shared" si="32"/>
        <v>0.27291794359839083</v>
      </c>
      <c r="Y71" s="106">
        <f t="shared" si="32"/>
        <v>-2.5934541007410994E-2</v>
      </c>
    </row>
    <row r="72" spans="1:25" x14ac:dyDescent="0.25">
      <c r="N72" s="100" t="s">
        <v>39</v>
      </c>
      <c r="O72" s="334">
        <v>83.921958540000006</v>
      </c>
      <c r="P72" s="334">
        <v>94.585703670000001</v>
      </c>
      <c r="Q72" s="334">
        <v>130.63544647999998</v>
      </c>
      <c r="R72" s="343">
        <v>107.33132022999999</v>
      </c>
      <c r="S72" s="97">
        <f>O72/$O$5</f>
        <v>3.5843224719993121E-2</v>
      </c>
      <c r="T72" s="97">
        <f>P72/$P$5</f>
        <v>3.8269825287881205E-2</v>
      </c>
      <c r="U72" s="103">
        <f>Q72/$Q$5</f>
        <v>5.2337513564893648E-2</v>
      </c>
      <c r="V72" s="104">
        <f>R72/$R$5</f>
        <v>4.2134882914898933E-2</v>
      </c>
      <c r="W72" s="71">
        <f t="shared" si="32"/>
        <v>0.12706740066030875</v>
      </c>
      <c r="X72" s="105">
        <f t="shared" si="32"/>
        <v>0.38113310374867959</v>
      </c>
      <c r="Y72" s="106">
        <f t="shared" si="32"/>
        <v>-0.17839052782330256</v>
      </c>
    </row>
    <row r="73" spans="1:25" x14ac:dyDescent="0.25">
      <c r="N73" s="100" t="s">
        <v>41</v>
      </c>
      <c r="O73" s="334">
        <v>259.11119559999997</v>
      </c>
      <c r="P73" s="334">
        <v>264.64755689999998</v>
      </c>
      <c r="Q73" s="334">
        <v>377.10159294999994</v>
      </c>
      <c r="R73" s="343">
        <v>318.02619614999998</v>
      </c>
      <c r="S73" s="97">
        <f>O73/$O$68</f>
        <v>0.27912716022139106</v>
      </c>
      <c r="T73" s="97">
        <f>P73/$P$68</f>
        <v>0.28678455916919438</v>
      </c>
      <c r="U73" s="103">
        <f>Q73/$Q$68</f>
        <v>0.30981698588398243</v>
      </c>
      <c r="V73" s="104">
        <f>R73/$R$68</f>
        <v>0.27793744045427449</v>
      </c>
      <c r="W73" s="71">
        <f t="shared" si="32"/>
        <v>2.1366739044910599E-2</v>
      </c>
      <c r="X73" s="105">
        <f t="shared" si="32"/>
        <v>0.424919985535676</v>
      </c>
      <c r="Y73" s="106">
        <f t="shared" si="32"/>
        <v>-0.15665644989156224</v>
      </c>
    </row>
    <row r="74" spans="1:25" x14ac:dyDescent="0.25">
      <c r="N74" s="148"/>
      <c r="O74" s="149"/>
      <c r="P74" s="149"/>
      <c r="Q74" s="149"/>
      <c r="R74" s="427"/>
      <c r="S74" s="119"/>
      <c r="T74" s="119"/>
      <c r="U74" s="150"/>
      <c r="V74" s="151"/>
      <c r="W74" s="121"/>
      <c r="X74" s="152"/>
      <c r="Y74" s="153"/>
    </row>
    <row r="75" spans="1:25" x14ac:dyDescent="0.25">
      <c r="N75" s="154" t="s">
        <v>57</v>
      </c>
      <c r="O75" s="127">
        <f>O5+O12+O19+O26+O40+O47+O54+O61+O68+O33</f>
        <v>17660.411276430001</v>
      </c>
      <c r="P75" s="127">
        <f>P5+P12+P19+P26+P40+P47+P54+P61+P68+P33</f>
        <v>18438.861062609998</v>
      </c>
      <c r="Q75" s="127">
        <f>Q5+Q12+Q19+Q26+Q40+Q47+Q54+Q61+Q68+Q33</f>
        <v>16679.240364339996</v>
      </c>
      <c r="R75" s="82">
        <f>R5+R12+R19+R26+R40+R47+R54+R61+R68+R33</f>
        <v>16843.098163729999</v>
      </c>
      <c r="S75" s="128">
        <f>S68+S61+S54+S47+S40+S26+S19+S12+S5</f>
        <v>0.74007451018389114</v>
      </c>
      <c r="T75" s="128">
        <f>T68+T61+T54+T47+T40+T26+T19+T12+T5</f>
        <v>0.70880082179327575</v>
      </c>
      <c r="U75" s="155">
        <f>U68+U61+U54+U47+U40+U26+U19+U12+U5</f>
        <v>0.68575739562328153</v>
      </c>
      <c r="V75" s="156">
        <f>V68+V61+V54+V47+V40+V26+V19+V12+V5</f>
        <v>0.72452578351342467</v>
      </c>
      <c r="W75" s="130">
        <f>P75/O75-1</f>
        <v>4.4078802809022655E-2</v>
      </c>
      <c r="X75" s="157">
        <f>Q75/P75-1</f>
        <v>-9.5430010145156396E-2</v>
      </c>
      <c r="Y75" s="158">
        <f>R75/Q75-1</f>
        <v>9.8240564804334962E-3</v>
      </c>
    </row>
    <row r="76" spans="1:25" x14ac:dyDescent="0.25">
      <c r="N76" s="159"/>
      <c r="O76" s="389">
        <v>2019</v>
      </c>
      <c r="P76" s="389">
        <v>2020</v>
      </c>
      <c r="Q76" s="389">
        <v>2021</v>
      </c>
      <c r="R76" s="390">
        <v>2022</v>
      </c>
      <c r="S76" s="161"/>
      <c r="T76" s="161"/>
      <c r="U76" s="161"/>
      <c r="V76" s="162"/>
      <c r="W76" s="159"/>
      <c r="X76" s="163"/>
      <c r="Y76" s="164"/>
    </row>
    <row r="77" spans="1:25" x14ac:dyDescent="0.25">
      <c r="N77" s="165"/>
      <c r="Q77" s="160"/>
      <c r="R77" s="160"/>
      <c r="S77" s="161"/>
      <c r="T77" s="161"/>
      <c r="U77" s="161"/>
      <c r="V77" s="162"/>
      <c r="W77" s="165"/>
      <c r="X77" s="163"/>
      <c r="Y77" s="164"/>
    </row>
    <row r="78" spans="1:25" x14ac:dyDescent="0.25">
      <c r="N78" s="428" t="s">
        <v>179</v>
      </c>
      <c r="O78" s="429">
        <v>3022.4783889999999</v>
      </c>
      <c r="P78" s="429">
        <v>2858.193745</v>
      </c>
      <c r="Q78" s="429">
        <v>2768.6531530000002</v>
      </c>
      <c r="R78" s="429">
        <v>2644</v>
      </c>
      <c r="S78" s="440">
        <f>R78/R75</f>
        <v>0.15697824558747756</v>
      </c>
      <c r="W78" s="166"/>
    </row>
    <row r="79" spans="1:25" x14ac:dyDescent="0.25">
      <c r="N79" s="430"/>
      <c r="O79" s="430"/>
      <c r="P79" s="430"/>
      <c r="Q79" s="430"/>
      <c r="R79" s="430"/>
      <c r="S79"/>
      <c r="T79"/>
      <c r="W79" s="166"/>
    </row>
    <row r="80" spans="1:25" x14ac:dyDescent="0.25">
      <c r="N80" s="431"/>
      <c r="O80" s="189"/>
      <c r="P80" s="189"/>
      <c r="Q80" s="189"/>
      <c r="R80" s="189"/>
      <c r="S80"/>
      <c r="T80"/>
      <c r="W80" s="166"/>
    </row>
    <row r="81" spans="14:23" x14ac:dyDescent="0.25">
      <c r="N81" s="430"/>
      <c r="O81" s="168"/>
      <c r="P81" s="168"/>
      <c r="Q81" s="168"/>
      <c r="R81" s="168"/>
      <c r="S81"/>
      <c r="T81"/>
      <c r="W81" s="166"/>
    </row>
    <row r="82" spans="14:23" x14ac:dyDescent="0.25">
      <c r="N82" s="173"/>
      <c r="O82" s="29"/>
      <c r="P82" s="172"/>
      <c r="Q82" s="167"/>
      <c r="R82" s="167"/>
      <c r="S82"/>
      <c r="T82"/>
      <c r="W82" s="166"/>
    </row>
    <row r="83" spans="14:23" x14ac:dyDescent="0.25">
      <c r="N83" s="173"/>
      <c r="O83" s="29"/>
      <c r="P83" s="172"/>
      <c r="S83"/>
      <c r="T83"/>
    </row>
    <row r="84" spans="14:23" x14ac:dyDescent="0.25">
      <c r="N84" s="173"/>
      <c r="O84" s="29"/>
      <c r="P84" s="172"/>
      <c r="S84"/>
      <c r="T84"/>
    </row>
    <row r="85" spans="14:23" x14ac:dyDescent="0.25">
      <c r="N85" s="173"/>
      <c r="O85" s="29"/>
      <c r="P85" s="172"/>
    </row>
    <row r="86" spans="14:23" x14ac:dyDescent="0.25">
      <c r="N86" s="173"/>
      <c r="O86" s="29"/>
      <c r="P86" s="172"/>
    </row>
    <row r="87" spans="14:23" x14ac:dyDescent="0.25">
      <c r="N87" s="173"/>
      <c r="O87" s="29"/>
      <c r="P87" s="172"/>
    </row>
    <row r="88" spans="14:23" x14ac:dyDescent="0.25">
      <c r="N88" s="173"/>
    </row>
    <row r="89" spans="14:23" x14ac:dyDescent="0.25">
      <c r="N89" s="173"/>
    </row>
    <row r="90" spans="14:23" x14ac:dyDescent="0.25">
      <c r="N90" s="173"/>
    </row>
    <row r="92" spans="14:23" x14ac:dyDescent="0.25">
      <c r="O92" s="432" t="s">
        <v>180</v>
      </c>
    </row>
    <row r="109" spans="14:15" x14ac:dyDescent="0.25">
      <c r="N109" s="165"/>
      <c r="O109" s="171"/>
    </row>
    <row r="110" spans="14:15" x14ac:dyDescent="0.25">
      <c r="N110" s="165"/>
      <c r="O110" s="171"/>
    </row>
    <row r="111" spans="14:15" x14ac:dyDescent="0.25">
      <c r="N111" s="173"/>
      <c r="O111" s="29"/>
    </row>
    <row r="112" spans="14:15" x14ac:dyDescent="0.25">
      <c r="N112" s="173"/>
      <c r="O112" s="29"/>
    </row>
    <row r="113" spans="14:15" x14ac:dyDescent="0.25">
      <c r="N113" s="173"/>
      <c r="O113" s="29"/>
    </row>
    <row r="114" spans="14:15" x14ac:dyDescent="0.25">
      <c r="N114" s="173"/>
      <c r="O114" s="29"/>
    </row>
    <row r="115" spans="14:15" x14ac:dyDescent="0.25">
      <c r="N115" s="173"/>
      <c r="O115" s="29"/>
    </row>
  </sheetData>
  <protectedRanges>
    <protectedRange sqref="B28:E28 B7:E7 B30:E30 B37:E37 B44:E44 B51:E51 B12:E12 B49:E49 B56:E56" name="Plage1_2"/>
    <protectedRange sqref="C29:E29 C36:E36 C43:E43 C50:E50 B20:E20" name="Plage1_1_1"/>
    <protectedRange sqref="R69 O6:R6 O13:R13 O20:R25 O27:R27 O48:R48 O55:R55 O62:R62 O11:R11 O18:R18 O32:R32 O46:R46 O53:R53 O60:R60 O67:R67" name="Plage1_3"/>
    <protectedRange sqref="B14:D14 B19:D19" name="Plage1_4"/>
    <protectedRange sqref="E14 E19" name="Plage1_5"/>
    <protectedRange sqref="B21:E21" name="Plage1_6"/>
    <protectedRange sqref="B8:D11" name="Plage1_1"/>
    <protectedRange sqref="E8:E11" name="Plage1_7"/>
    <protectedRange sqref="B15:E18" name="Plage1_8"/>
    <protectedRange sqref="B26:E26" name="Plage1_9"/>
    <protectedRange sqref="B22:E25" name="Plage1_10"/>
    <protectedRange sqref="B31:E34" name="Plage1_11"/>
    <protectedRange sqref="B38:E41" name="Plage1_12"/>
    <protectedRange sqref="B45:E48" name="Plage1_14"/>
    <protectedRange sqref="B52:E55" name="Plage1_15"/>
    <protectedRange sqref="O7:R10" name="Plage1_16"/>
    <protectedRange sqref="O14:R17" name="Plage1_17"/>
    <protectedRange sqref="O34:R39" name="Plage1_19"/>
    <protectedRange sqref="O41:R41" name="Plage1_22"/>
    <protectedRange sqref="O42:R45" name="Plage1_23"/>
    <protectedRange sqref="O49:R52" name="Plage1_24"/>
    <protectedRange sqref="O56:R59" name="Plage1_25"/>
    <protectedRange sqref="O63:R66" name="Plage1_26"/>
    <protectedRange sqref="O70:R71 O73:R73" name="Plage1_27"/>
    <protectedRange sqref="O28:R31" name="Plage1_13"/>
  </protectedRanges>
  <mergeCells count="7">
    <mergeCell ref="A2:A3"/>
    <mergeCell ref="W2:Y2"/>
    <mergeCell ref="F2:I2"/>
    <mergeCell ref="S2:V2"/>
    <mergeCell ref="J2:L2"/>
    <mergeCell ref="B2:E2"/>
    <mergeCell ref="O2:R2"/>
  </mergeCells>
  <phoneticPr fontId="2" type="noConversion"/>
  <printOptions horizontalCentered="1" verticalCentered="1"/>
  <pageMargins left="0.27" right="0.19685039370078741" top="0.35" bottom="0.25" header="0.51181102362204722" footer="0.51181102362204722"/>
  <pageSetup paperSize="9" scale="75" orientation="landscape" cellComments="asDisplayed" r:id="rId1"/>
  <headerFooter alignWithMargins="0">
    <oddHeader>&amp;CCOMPTES CONSOLIDES DU REGIME DES SALARIES AGRICOLES (en millions d'euros)
selon le rapport de la commission des comptes de la Sécurité sociale (sept. 2010)
CHIFFRES UTILES - BUDGET 2011</oddHeader>
    <oddFooter>&amp;L&amp;Z&amp;F
&amp;D&amp;R&amp;P/&amp;N</oddFooter>
  </headerFooter>
  <colBreaks count="1" manualBreakCount="1">
    <brk id="12" max="1048575" man="1"/>
  </colBreaks>
  <ignoredErrors>
    <ignoredError sqref="F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M58"/>
  <sheetViews>
    <sheetView zoomScale="90" zoomScaleNormal="90" workbookViewId="0"/>
  </sheetViews>
  <sheetFormatPr baseColWidth="10" defaultRowHeight="12.5" x14ac:dyDescent="0.25"/>
  <cols>
    <col min="1" max="1" width="48.81640625" customWidth="1"/>
    <col min="2" max="2" width="13" customWidth="1"/>
    <col min="3" max="3" width="12.453125" customWidth="1"/>
    <col min="4" max="4" width="12.7265625" customWidth="1"/>
    <col min="5" max="5" width="15" customWidth="1"/>
    <col min="6" max="6" width="15.26953125" bestFit="1" customWidth="1"/>
    <col min="7" max="7" width="2" customWidth="1"/>
    <col min="8" max="8" width="27.7265625" bestFit="1" customWidth="1"/>
    <col min="9" max="9" width="8.1796875" bestFit="1" customWidth="1"/>
    <col min="10" max="10" width="6" bestFit="1" customWidth="1"/>
    <col min="11" max="11" width="6.1796875" bestFit="1" customWidth="1"/>
    <col min="12" max="12" width="4.7265625" bestFit="1" customWidth="1"/>
  </cols>
  <sheetData>
    <row r="1" spans="1:13" ht="35" thickBot="1" x14ac:dyDescent="0.3">
      <c r="A1" s="5" t="s">
        <v>16</v>
      </c>
      <c r="B1" s="408" t="s">
        <v>175</v>
      </c>
      <c r="C1" s="408" t="s">
        <v>181</v>
      </c>
      <c r="D1" s="408" t="s">
        <v>182</v>
      </c>
      <c r="E1" s="21" t="s">
        <v>183</v>
      </c>
      <c r="F1" s="32" t="s">
        <v>8</v>
      </c>
      <c r="G1" s="1"/>
    </row>
    <row r="2" spans="1:13" ht="13.5" thickBot="1" x14ac:dyDescent="0.35">
      <c r="A2" s="350" t="s">
        <v>0</v>
      </c>
      <c r="B2" s="14">
        <f>'COMPTES NSA (Chiffres Utiles)ok'!D57</f>
        <v>16138.072176410004</v>
      </c>
      <c r="C2" s="14">
        <f>'COMPTES NSA (Chiffres Utiles)ok'!E57</f>
        <v>16658.82231562</v>
      </c>
      <c r="D2" s="14"/>
      <c r="E2" s="358">
        <f t="shared" ref="E2:E10" si="0">(C2-B2)/B2</f>
        <v>3.2268422988664572E-2</v>
      </c>
      <c r="F2" s="359">
        <f>(B2/$B$2)*E2*100</f>
        <v>3.2268422988664573</v>
      </c>
      <c r="G2" s="1"/>
      <c r="M2" s="254" t="s">
        <v>122</v>
      </c>
    </row>
    <row r="3" spans="1:13" ht="13" x14ac:dyDescent="0.3">
      <c r="A3" s="351" t="s">
        <v>1</v>
      </c>
      <c r="B3" s="355">
        <f>SUM(B4:B9)</f>
        <v>13820.50986027</v>
      </c>
      <c r="C3" s="355">
        <f>SUM(C4:C9)</f>
        <v>14285.787028759998</v>
      </c>
      <c r="D3" s="356">
        <f>C3/C2</f>
        <v>0.85755083751418937</v>
      </c>
      <c r="E3" s="357">
        <f>(C3-B3)/B3</f>
        <v>3.3665702148047115E-2</v>
      </c>
      <c r="F3" s="359">
        <f>(B3/$B$3)*E3*100</f>
        <v>3.3665702148047116</v>
      </c>
      <c r="G3" s="1"/>
      <c r="H3" s="217"/>
    </row>
    <row r="4" spans="1:13" x14ac:dyDescent="0.25">
      <c r="A4" s="352" t="s">
        <v>7</v>
      </c>
      <c r="B4" s="370">
        <f>[4]Vieillesse!$H$11</f>
        <v>6592.0251362100007</v>
      </c>
      <c r="C4" s="409">
        <f>[4]Vieillesse!$I$11</f>
        <v>6670.173006009999</v>
      </c>
      <c r="D4" s="371">
        <f>C4/$C$3</f>
        <v>0.46690973291017679</v>
      </c>
      <c r="E4" s="360">
        <f t="shared" ref="E4:E9" si="1">(C4-B4)/B4</f>
        <v>1.185491077252299E-2</v>
      </c>
      <c r="F4" s="361">
        <f>(B4/$B$3)*E4*100</f>
        <v>0.56544852968594861</v>
      </c>
      <c r="G4" s="20"/>
    </row>
    <row r="5" spans="1:13" x14ac:dyDescent="0.25">
      <c r="A5" s="353" t="s">
        <v>105</v>
      </c>
      <c r="B5" s="372">
        <f>[4]Maladie!$H$12</f>
        <v>5943.3782990700001</v>
      </c>
      <c r="C5" s="410">
        <f>[4]Maladie!$I$12</f>
        <v>6063.3606267700006</v>
      </c>
      <c r="D5" s="371">
        <f>C5/$C$3</f>
        <v>0.42443308265504071</v>
      </c>
      <c r="E5" s="362">
        <f t="shared" si="1"/>
        <v>2.0187563648569187E-2</v>
      </c>
      <c r="F5" s="361">
        <f>(B5/$B$3)*E5*100</f>
        <v>0.86814689843618054</v>
      </c>
      <c r="G5" s="20"/>
    </row>
    <row r="6" spans="1:13" x14ac:dyDescent="0.25">
      <c r="A6" s="354" t="s">
        <v>17</v>
      </c>
      <c r="B6" s="373">
        <f>[4]RCO!$H$11</f>
        <v>785.70349532</v>
      </c>
      <c r="C6" s="411">
        <f>[4]RCO!$I$11</f>
        <v>1038.6704697499999</v>
      </c>
      <c r="D6" s="374">
        <f>C6/$C$3</f>
        <v>7.2706562659723209E-2</v>
      </c>
      <c r="E6" s="363">
        <f t="shared" si="1"/>
        <v>0.32196238903961089</v>
      </c>
      <c r="F6" s="361">
        <f>(B6/$B$3)*E6*100</f>
        <v>1.8303736764242498</v>
      </c>
      <c r="G6" s="20"/>
    </row>
    <row r="7" spans="1:13" ht="13" x14ac:dyDescent="0.3">
      <c r="A7" s="353" t="s">
        <v>6</v>
      </c>
      <c r="B7" s="372">
        <f>[4]Famille!$H$11</f>
        <v>307.91531816000003</v>
      </c>
      <c r="C7" s="410">
        <f>[4]Famille!$I$11</f>
        <v>314.95669365999998</v>
      </c>
      <c r="D7" s="371">
        <f>C7/$C$3</f>
        <v>2.2046856293316739E-2</v>
      </c>
      <c r="E7" s="362">
        <f t="shared" si="1"/>
        <v>2.2867896089343285E-2</v>
      </c>
      <c r="F7" s="361">
        <f>(B7/$B$3)*E7*100</f>
        <v>5.0948739020416987E-2</v>
      </c>
      <c r="G7" s="20"/>
      <c r="H7" s="217" t="s">
        <v>107</v>
      </c>
    </row>
    <row r="8" spans="1:13" ht="13" x14ac:dyDescent="0.3">
      <c r="A8" s="353" t="s">
        <v>5</v>
      </c>
      <c r="B8" s="372">
        <f>[4]AT!$H$11</f>
        <v>125.9570099</v>
      </c>
      <c r="C8" s="410">
        <f>[4]AT!$I$11</f>
        <v>128.67936637</v>
      </c>
      <c r="D8" s="371">
        <f t="shared" ref="D8" si="2">C8/$C$3</f>
        <v>9.0075097795413051E-3</v>
      </c>
      <c r="E8" s="362">
        <f t="shared" si="1"/>
        <v>2.1613378026052951E-2</v>
      </c>
      <c r="F8" s="364">
        <f t="shared" ref="F8" si="3">(B8/$B$3)*E8*100</f>
        <v>1.9697945282221373E-2</v>
      </c>
      <c r="G8" s="20"/>
      <c r="H8" s="30">
        <f>B4+B5+B7+B8</f>
        <v>12969.27576334</v>
      </c>
      <c r="I8" s="30">
        <f>C4+C5+C7+C8</f>
        <v>13177.169692809999</v>
      </c>
      <c r="J8" s="176">
        <f>I8/C3</f>
        <v>0.92239718163807549</v>
      </c>
      <c r="K8" s="211">
        <f>I8/H8-1</f>
        <v>1.6029725426738972E-2</v>
      </c>
      <c r="L8" s="30">
        <f>F4+F5+F7+F8</f>
        <v>1.5042421124247678</v>
      </c>
    </row>
    <row r="9" spans="1:13" ht="13" thickBot="1" x14ac:dyDescent="0.3">
      <c r="A9" s="366" t="s">
        <v>106</v>
      </c>
      <c r="B9" s="372">
        <f>'[4]IJ AMEXA'!$G$12</f>
        <v>65.530601610000005</v>
      </c>
      <c r="C9" s="410">
        <f>'[4]IJ AMEXA'!$H$12</f>
        <v>69.946866200000002</v>
      </c>
      <c r="D9" s="371">
        <f>C9/$C$3</f>
        <v>4.8962557022013348E-3</v>
      </c>
      <c r="E9" s="362">
        <f t="shared" si="1"/>
        <v>6.7392401130132049E-2</v>
      </c>
      <c r="F9" s="365">
        <f>(B9/$B$3)*E9*100</f>
        <v>3.195442595569857E-2</v>
      </c>
      <c r="G9" s="20"/>
    </row>
    <row r="10" spans="1:13" ht="13" thickBot="1" x14ac:dyDescent="0.3">
      <c r="A10" s="4" t="s">
        <v>2</v>
      </c>
      <c r="B10" s="15">
        <f>'COMPTES NSA (Chiffres Utiles)ok'!Q75</f>
        <v>16679.240364339996</v>
      </c>
      <c r="C10" s="412">
        <f>'COMPTES NSA (Chiffres Utiles)ok'!R75</f>
        <v>16843.098163729999</v>
      </c>
      <c r="D10" s="15"/>
      <c r="E10" s="200">
        <f t="shared" si="0"/>
        <v>9.8240564804335691E-3</v>
      </c>
      <c r="F10" s="215">
        <f>(B10/B10)*E10*100</f>
        <v>0.98240564804335695</v>
      </c>
      <c r="G10" s="1"/>
    </row>
    <row r="11" spans="1:13" x14ac:dyDescent="0.25">
      <c r="A11" s="8" t="s">
        <v>9</v>
      </c>
      <c r="B11" s="10">
        <f>SUM(B12:B17)</f>
        <v>2493.1590089699998</v>
      </c>
      <c r="C11" s="341">
        <f>SUM(C12:C17)</f>
        <v>2546.7103734900002</v>
      </c>
      <c r="D11" s="388">
        <f>C11/C10</f>
        <v>0.15120201454231844</v>
      </c>
      <c r="E11" s="197">
        <f>(C11-B11)/B11</f>
        <v>2.1479321746960711E-2</v>
      </c>
      <c r="F11" s="215">
        <f>(B11/B11)*E11*100</f>
        <v>2.1479321746960709</v>
      </c>
      <c r="G11" s="189"/>
      <c r="H11" s="189"/>
    </row>
    <row r="12" spans="1:13" x14ac:dyDescent="0.25">
      <c r="A12" s="367" t="s">
        <v>7</v>
      </c>
      <c r="B12" s="342">
        <f>[4]Vieillesse!$H$106</f>
        <v>1220.1272068999999</v>
      </c>
      <c r="C12" s="418">
        <f>[4]Vieillesse!$I$106</f>
        <v>1258.6198170999999</v>
      </c>
      <c r="D12" s="12">
        <f>C12/$C$11</f>
        <v>0.49421395938918372</v>
      </c>
      <c r="E12" s="368">
        <f>(C12-B12)/B12</f>
        <v>3.1548030387584622E-2</v>
      </c>
      <c r="F12" s="369">
        <f>(B12/B11)*E12*100</f>
        <v>1.543929210351586</v>
      </c>
      <c r="G12" s="20"/>
    </row>
    <row r="13" spans="1:13" x14ac:dyDescent="0.25">
      <c r="A13" s="367" t="s">
        <v>18</v>
      </c>
      <c r="B13" s="342">
        <f>[4]RCO!$H$66</f>
        <v>455.01889946999995</v>
      </c>
      <c r="C13" s="418">
        <f>[4]RCO!$I$66</f>
        <v>470.07117010000002</v>
      </c>
      <c r="D13" s="12">
        <f>C13/$C$11</f>
        <v>0.18457975237121946</v>
      </c>
      <c r="E13" s="368">
        <f>(C13-B13)/B13</f>
        <v>3.3080539396347614E-2</v>
      </c>
      <c r="F13" s="369">
        <f>(B13/$B$11)*E13*100</f>
        <v>0.6037429051193417</v>
      </c>
      <c r="G13" s="20"/>
    </row>
    <row r="14" spans="1:13" x14ac:dyDescent="0.25">
      <c r="A14" s="367" t="s">
        <v>169</v>
      </c>
      <c r="B14" s="342">
        <f>[4]Maladie!$H$156</f>
        <v>467.49386817000004</v>
      </c>
      <c r="C14" s="418">
        <f>[4]Maladie!$I$156</f>
        <v>457.67057166999996</v>
      </c>
      <c r="D14" s="12">
        <f t="shared" ref="D14:D17" si="4">C14/$C$11</f>
        <v>0.17971049100601508</v>
      </c>
      <c r="E14" s="368">
        <f t="shared" ref="E14:E20" si="5">(C14-B14)/B14</f>
        <v>-2.1012674537215378E-2</v>
      </c>
      <c r="F14" s="369">
        <f>(B14/B11)*E14*100</f>
        <v>-0.39401002762589082</v>
      </c>
      <c r="G14" s="20"/>
    </row>
    <row r="15" spans="1:13" ht="13" x14ac:dyDescent="0.3">
      <c r="A15" s="367" t="s">
        <v>6</v>
      </c>
      <c r="B15" s="342">
        <f>[4]Famille!$H$98</f>
        <v>92.997496979999994</v>
      </c>
      <c r="C15" s="418">
        <f>[4]Famille!$I$98</f>
        <v>104.52643218999999</v>
      </c>
      <c r="D15" s="12">
        <f>C15/$C$11</f>
        <v>4.1043706138738284E-2</v>
      </c>
      <c r="E15" s="368">
        <f>(C15-B15)/B15</f>
        <v>0.1239703818316681</v>
      </c>
      <c r="F15" s="369">
        <f>(B15/B11)*E15*100</f>
        <v>0.46242278043721546</v>
      </c>
      <c r="G15" s="20"/>
      <c r="H15" s="217" t="s">
        <v>107</v>
      </c>
    </row>
    <row r="16" spans="1:13" ht="13" x14ac:dyDescent="0.3">
      <c r="A16" s="367" t="s">
        <v>5</v>
      </c>
      <c r="B16" s="342">
        <f>[4]AT!$H$97</f>
        <v>189.03915393999998</v>
      </c>
      <c r="C16" s="418">
        <f>[4]AT!$I$97</f>
        <v>187.50811718999998</v>
      </c>
      <c r="D16" s="12">
        <f>C16/$C$11</f>
        <v>7.3627578205149299E-2</v>
      </c>
      <c r="E16" s="368">
        <f>(C16-B16)/B16</f>
        <v>-8.0990457166664077E-3</v>
      </c>
      <c r="F16" s="369">
        <f>(B16/B11)*E16*100</f>
        <v>-6.1409510764919746E-2</v>
      </c>
      <c r="G16" s="20"/>
      <c r="H16" s="30">
        <f>B12+B14+B15+B16</f>
        <v>1969.65772599</v>
      </c>
      <c r="I16" s="30">
        <f>C12+C14+C15+C16</f>
        <v>2008.3249381499998</v>
      </c>
      <c r="J16" s="176">
        <f>I16/C11</f>
        <v>0.7885957347390864</v>
      </c>
      <c r="K16" s="211">
        <f>I16/H16-1</f>
        <v>1.9631437304958421E-2</v>
      </c>
      <c r="L16" s="216">
        <f>F12+F14+F15+F16</f>
        <v>1.5509324523979908</v>
      </c>
    </row>
    <row r="17" spans="1:8" x14ac:dyDescent="0.25">
      <c r="A17" s="367" t="s">
        <v>106</v>
      </c>
      <c r="B17" s="342">
        <f>'[4]IJ AMEXA'!$G$61</f>
        <v>68.482383510000005</v>
      </c>
      <c r="C17" s="418">
        <f>'[4]IJ AMEXA'!$H$61</f>
        <v>68.314265239999997</v>
      </c>
      <c r="D17" s="12">
        <f t="shared" si="4"/>
        <v>2.6824512889694025E-2</v>
      </c>
      <c r="E17" s="368">
        <f t="shared" si="5"/>
        <v>-2.4549126561206613E-3</v>
      </c>
      <c r="F17" s="369">
        <f>(B17/$B$11)*E17*100</f>
        <v>-6.743182821277921E-3</v>
      </c>
      <c r="G17" s="20"/>
    </row>
    <row r="18" spans="1:8" x14ac:dyDescent="0.25">
      <c r="A18" s="9" t="s">
        <v>3</v>
      </c>
      <c r="B18" s="11">
        <f>'COMPTES NSA (Chiffres Utiles)ok'!Q26</f>
        <v>4749.6925377699999</v>
      </c>
      <c r="C18" s="11">
        <f>'COMPTES NSA (Chiffres Utiles)ok'!R26</f>
        <v>4868.3526247</v>
      </c>
      <c r="D18" s="12">
        <f>C18/C10</f>
        <v>0.28904139709780541</v>
      </c>
      <c r="E18" s="198">
        <f t="shared" si="5"/>
        <v>2.4982688034310412E-2</v>
      </c>
      <c r="F18" s="13"/>
      <c r="G18" s="20"/>
    </row>
    <row r="19" spans="1:8" x14ac:dyDescent="0.25">
      <c r="A19" s="22" t="s">
        <v>68</v>
      </c>
      <c r="B19" s="23">
        <f>SUM(B25:B29)</f>
        <v>2672</v>
      </c>
      <c r="C19" s="23">
        <f>SUM(C25:C29)</f>
        <v>2644</v>
      </c>
      <c r="D19" s="12">
        <f>C19/C10</f>
        <v>0.15697824558747756</v>
      </c>
      <c r="E19" s="199">
        <f t="shared" si="5"/>
        <v>-1.0479041916167664E-2</v>
      </c>
      <c r="F19" s="24"/>
      <c r="G19" s="20"/>
    </row>
    <row r="20" spans="1:8" ht="13" thickBot="1" x14ac:dyDescent="0.3">
      <c r="A20" s="25" t="s">
        <v>15</v>
      </c>
      <c r="B20" s="26">
        <f>'COMPTES NSA (Chiffres Utiles)ok'!Q12</f>
        <v>89.465566660000007</v>
      </c>
      <c r="C20" s="26">
        <f>'COMPTES NSA (Chiffres Utiles)ok'!R12</f>
        <v>34.574939880000002</v>
      </c>
      <c r="D20" s="202">
        <f>C20/C10</f>
        <v>2.0527660376909651E-3</v>
      </c>
      <c r="E20" s="199">
        <f t="shared" si="5"/>
        <v>-0.6135391394613674</v>
      </c>
      <c r="F20" s="27"/>
      <c r="G20" s="20"/>
    </row>
    <row r="21" spans="1:8" ht="13" thickBot="1" x14ac:dyDescent="0.3">
      <c r="A21" s="3" t="s">
        <v>4</v>
      </c>
      <c r="B21" s="16">
        <f>B10-B2</f>
        <v>541.1681879299922</v>
      </c>
      <c r="C21" s="16">
        <f>C10-C2</f>
        <v>184.27584810999906</v>
      </c>
      <c r="D21" s="181"/>
      <c r="E21" s="201">
        <f>(C21-B21)/B21</f>
        <v>-0.65948506911526406</v>
      </c>
      <c r="F21" s="28" t="s">
        <v>10</v>
      </c>
      <c r="G21" s="20"/>
    </row>
    <row r="22" spans="1:8" x14ac:dyDescent="0.25">
      <c r="A22" s="249" t="s">
        <v>156</v>
      </c>
      <c r="B22" s="250" t="b">
        <f>B21='COMPTES NSA (Chiffres Utiles)ok'!D58</f>
        <v>1</v>
      </c>
      <c r="C22" s="250" t="b">
        <f>C21='COMPTES NSA (Chiffres Utiles)ok'!E58</f>
        <v>1</v>
      </c>
      <c r="D22" s="1"/>
      <c r="E22" s="1"/>
      <c r="F22" s="1"/>
    </row>
    <row r="23" spans="1:8" ht="13" x14ac:dyDescent="0.3">
      <c r="A23" s="251" t="s">
        <v>156</v>
      </c>
      <c r="B23" s="302">
        <f>'[5]COMPTES NSA'!$B$91</f>
        <v>-189.15947750000083</v>
      </c>
      <c r="C23" s="302">
        <f>'[5]COMPTES NSA'!$C$91</f>
        <v>52.116519549999992</v>
      </c>
      <c r="D23" s="329"/>
      <c r="E23" s="1"/>
      <c r="F23" s="1"/>
      <c r="H23" s="254" t="s">
        <v>22</v>
      </c>
    </row>
    <row r="24" spans="1:8" x14ac:dyDescent="0.25">
      <c r="A24" s="1"/>
      <c r="B24" s="345">
        <v>2021</v>
      </c>
      <c r="C24" s="345">
        <v>2022</v>
      </c>
      <c r="D24" s="329">
        <f>C11/C10</f>
        <v>0.15120201454231844</v>
      </c>
      <c r="E24" s="329">
        <f>B11/B10</f>
        <v>0.1494767719937859</v>
      </c>
      <c r="F24" s="1"/>
    </row>
    <row r="25" spans="1:8" x14ac:dyDescent="0.25">
      <c r="A25" s="6" t="s">
        <v>11</v>
      </c>
      <c r="B25" s="7">
        <v>0</v>
      </c>
      <c r="C25" s="433">
        <v>0</v>
      </c>
      <c r="D25" s="330"/>
    </row>
    <row r="26" spans="1:8" x14ac:dyDescent="0.25">
      <c r="A26" s="6" t="s">
        <v>12</v>
      </c>
      <c r="B26" s="7">
        <v>0</v>
      </c>
      <c r="C26" s="433">
        <v>0</v>
      </c>
    </row>
    <row r="27" spans="1:8" x14ac:dyDescent="0.25">
      <c r="A27" s="6" t="s">
        <v>13</v>
      </c>
      <c r="B27" s="7">
        <v>0</v>
      </c>
      <c r="C27" s="433">
        <v>0</v>
      </c>
    </row>
    <row r="28" spans="1:8" x14ac:dyDescent="0.25">
      <c r="A28" s="6" t="s">
        <v>14</v>
      </c>
      <c r="B28" s="346">
        <f>[4]Vieillesse!$H$147</f>
        <v>2672</v>
      </c>
      <c r="C28" s="433">
        <f>[4]Vieillesse!$I$147</f>
        <v>2644</v>
      </c>
    </row>
    <row r="29" spans="1:8" x14ac:dyDescent="0.25">
      <c r="A29" s="6" t="s">
        <v>19</v>
      </c>
      <c r="B29" s="346">
        <v>0</v>
      </c>
      <c r="C29" s="433">
        <v>0</v>
      </c>
      <c r="D29" s="29"/>
    </row>
    <row r="30" spans="1:8" x14ac:dyDescent="0.25">
      <c r="A30" s="192" t="s">
        <v>69</v>
      </c>
      <c r="B30" s="347">
        <f>[4]Maladie!$H$214</f>
        <v>4.8058407399999998</v>
      </c>
      <c r="C30" s="434">
        <f>[4]Maladie!$I$214</f>
        <v>9.7040036199999999</v>
      </c>
      <c r="D30" s="170"/>
    </row>
    <row r="31" spans="1:8" x14ac:dyDescent="0.25">
      <c r="A31" s="192" t="s">
        <v>70</v>
      </c>
      <c r="B31" s="347">
        <f>[4]AT!$H$121</f>
        <v>0</v>
      </c>
      <c r="C31" s="434">
        <f>[4]AT!$I$121</f>
        <v>0</v>
      </c>
    </row>
    <row r="32" spans="1:8" x14ac:dyDescent="0.25">
      <c r="A32" s="192" t="s">
        <v>71</v>
      </c>
      <c r="B32" s="347">
        <v>0</v>
      </c>
      <c r="C32" s="434">
        <v>0</v>
      </c>
    </row>
    <row r="33" spans="1:10" x14ac:dyDescent="0.25">
      <c r="A33" s="192" t="s">
        <v>72</v>
      </c>
      <c r="B33" s="347">
        <f>[4]Vieillesse!$H$150</f>
        <v>43.964913730000006</v>
      </c>
      <c r="C33" s="434">
        <f>[4]Vieillesse!$I$150</f>
        <v>31.4634958</v>
      </c>
    </row>
    <row r="34" spans="1:10" x14ac:dyDescent="0.25">
      <c r="A34" s="192" t="s">
        <v>73</v>
      </c>
      <c r="B34" s="347">
        <v>0</v>
      </c>
      <c r="C34" s="434">
        <v>0</v>
      </c>
    </row>
    <row r="35" spans="1:10" x14ac:dyDescent="0.25">
      <c r="A35" s="194" t="s">
        <v>74</v>
      </c>
      <c r="B35" s="348">
        <v>0</v>
      </c>
      <c r="C35" s="435">
        <v>0</v>
      </c>
    </row>
    <row r="36" spans="1:10" x14ac:dyDescent="0.25">
      <c r="A36" s="194" t="s">
        <v>75</v>
      </c>
      <c r="B36" s="348">
        <v>0</v>
      </c>
      <c r="C36" s="435">
        <v>0</v>
      </c>
    </row>
    <row r="37" spans="1:10" x14ac:dyDescent="0.25">
      <c r="A37" s="194" t="s">
        <v>76</v>
      </c>
      <c r="B37" s="348">
        <v>0</v>
      </c>
      <c r="C37" s="435">
        <v>0</v>
      </c>
    </row>
    <row r="38" spans="1:10" x14ac:dyDescent="0.25">
      <c r="A38" s="194" t="s">
        <v>77</v>
      </c>
      <c r="B38" s="348">
        <v>0</v>
      </c>
      <c r="C38" s="435">
        <v>0</v>
      </c>
    </row>
    <row r="39" spans="1:10" x14ac:dyDescent="0.25">
      <c r="A39" s="194" t="s">
        <v>82</v>
      </c>
      <c r="B39" s="348">
        <v>0</v>
      </c>
      <c r="C39" s="435">
        <v>0</v>
      </c>
    </row>
    <row r="40" spans="1:10" x14ac:dyDescent="0.25">
      <c r="A40" s="192" t="s">
        <v>78</v>
      </c>
      <c r="B40" s="347">
        <f>[4]Maladie!$H$211</f>
        <v>4144.9834265099998</v>
      </c>
      <c r="C40" s="434">
        <f>[4]Maladie!$I$211</f>
        <v>4241.1482816799999</v>
      </c>
      <c r="D40" s="146"/>
    </row>
    <row r="41" spans="1:10" x14ac:dyDescent="0.25">
      <c r="A41" s="192" t="s">
        <v>79</v>
      </c>
      <c r="B41" s="347">
        <v>0</v>
      </c>
      <c r="C41" s="434">
        <v>0</v>
      </c>
      <c r="D41" s="146"/>
    </row>
    <row r="42" spans="1:10" x14ac:dyDescent="0.25">
      <c r="A42" s="192" t="s">
        <v>80</v>
      </c>
      <c r="B42" s="347">
        <f>[4]Famille!$H$123</f>
        <v>360.71186182000002</v>
      </c>
      <c r="C42" s="434">
        <f>[4]Famille!$I$123</f>
        <v>408.39499180000001</v>
      </c>
      <c r="D42" s="146"/>
      <c r="J42" t="s">
        <v>204</v>
      </c>
    </row>
    <row r="43" spans="1:10" x14ac:dyDescent="0.25">
      <c r="A43" s="192" t="s">
        <v>81</v>
      </c>
      <c r="B43" s="347">
        <v>0</v>
      </c>
      <c r="C43" s="434">
        <v>0</v>
      </c>
      <c r="D43" s="146"/>
    </row>
    <row r="44" spans="1:10" x14ac:dyDescent="0.25">
      <c r="A44" s="192" t="s">
        <v>83</v>
      </c>
      <c r="B44" s="347">
        <v>0</v>
      </c>
      <c r="C44" s="434">
        <v>0</v>
      </c>
      <c r="D44" s="146"/>
    </row>
    <row r="45" spans="1:10" x14ac:dyDescent="0.25">
      <c r="A45" s="214" t="s">
        <v>113</v>
      </c>
      <c r="B45" s="349">
        <f>[4]Maladie!$H$238+'[4]IJ AMEXA'!$G$78</f>
        <v>505.22781337000004</v>
      </c>
      <c r="C45" s="436">
        <f>'[4]IJ AMEXA'!$H$78+[4]Maladie!$I$238</f>
        <v>473.00034361000002</v>
      </c>
    </row>
    <row r="46" spans="1:10" x14ac:dyDescent="0.25">
      <c r="A46" s="214" t="s">
        <v>84</v>
      </c>
      <c r="B46" s="349">
        <f>[4]AT!$H$131</f>
        <v>108.89076351999999</v>
      </c>
      <c r="C46" s="436">
        <f>[4]AT!$I$131</f>
        <v>103.31914045000001</v>
      </c>
      <c r="D46" s="146"/>
    </row>
    <row r="47" spans="1:10" x14ac:dyDescent="0.25">
      <c r="A47" s="214" t="s">
        <v>85</v>
      </c>
      <c r="B47" s="349">
        <f>[4]Famille!$H$132</f>
        <v>77.122423639999994</v>
      </c>
      <c r="C47" s="436">
        <f>[4]Famille!$I$132</f>
        <v>62.208850720000001</v>
      </c>
      <c r="D47" s="146"/>
    </row>
    <row r="48" spans="1:10" x14ac:dyDescent="0.25">
      <c r="A48" s="214" t="s">
        <v>86</v>
      </c>
      <c r="B48" s="349">
        <f>[4]Vieillesse!$H$168</f>
        <v>355.94050497999996</v>
      </c>
      <c r="C48" s="436">
        <f>[4]Vieillesse!$I$168</f>
        <v>295.09391356999998</v>
      </c>
      <c r="D48" s="146"/>
    </row>
    <row r="49" spans="1:4" x14ac:dyDescent="0.25">
      <c r="A49" s="214" t="s">
        <v>87</v>
      </c>
      <c r="B49" s="349">
        <f>[4]RCO!$H$82</f>
        <v>130.63468305999999</v>
      </c>
      <c r="C49" s="436">
        <f>[4]RCO!$I$82</f>
        <v>107.24503216999999</v>
      </c>
      <c r="D49" s="146"/>
    </row>
    <row r="50" spans="1:4" x14ac:dyDescent="0.25">
      <c r="A50" s="203"/>
      <c r="B50" s="204"/>
      <c r="C50" s="204"/>
    </row>
    <row r="51" spans="1:4" x14ac:dyDescent="0.25">
      <c r="A51" s="194"/>
      <c r="B51" s="195"/>
      <c r="C51" s="195"/>
    </row>
    <row r="52" spans="1:4" x14ac:dyDescent="0.25">
      <c r="A52" s="194"/>
      <c r="B52" s="195"/>
      <c r="C52" s="195"/>
    </row>
    <row r="53" spans="1:4" x14ac:dyDescent="0.25">
      <c r="A53" s="194"/>
      <c r="B53" s="195"/>
      <c r="C53" s="195"/>
    </row>
    <row r="54" spans="1:4" x14ac:dyDescent="0.25">
      <c r="A54" s="194"/>
      <c r="B54" s="195"/>
      <c r="C54" s="195"/>
    </row>
    <row r="55" spans="1:4" x14ac:dyDescent="0.25">
      <c r="A55" s="192"/>
      <c r="B55" s="193"/>
      <c r="C55" s="193"/>
    </row>
    <row r="56" spans="1:4" x14ac:dyDescent="0.25">
      <c r="A56" s="192"/>
      <c r="B56" s="193"/>
      <c r="C56" s="193"/>
    </row>
    <row r="57" spans="1:4" x14ac:dyDescent="0.25">
      <c r="A57" s="192"/>
      <c r="B57" s="193"/>
      <c r="C57" s="193"/>
    </row>
    <row r="58" spans="1:4" x14ac:dyDescent="0.25">
      <c r="A58" s="192"/>
      <c r="B58" s="193"/>
      <c r="C58" s="193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I27"/>
  <sheetViews>
    <sheetView zoomScale="90" zoomScaleNormal="90" workbookViewId="0">
      <selection activeCell="I16" sqref="I16"/>
    </sheetView>
  </sheetViews>
  <sheetFormatPr baseColWidth="10" defaultRowHeight="12.5" x14ac:dyDescent="0.25"/>
  <cols>
    <col min="1" max="1" width="41" customWidth="1"/>
    <col min="2" max="2" width="14.26953125" bestFit="1" customWidth="1"/>
  </cols>
  <sheetData>
    <row r="1" spans="1:9" ht="13" x14ac:dyDescent="0.3">
      <c r="A1" s="17" t="s">
        <v>173</v>
      </c>
    </row>
    <row r="2" spans="1:9" ht="13" thickBot="1" x14ac:dyDescent="0.3"/>
    <row r="3" spans="1:9" ht="22.5" customHeight="1" x14ac:dyDescent="0.25">
      <c r="A3" s="233" t="s">
        <v>114</v>
      </c>
      <c r="B3" s="234">
        <v>2016</v>
      </c>
      <c r="C3" s="234">
        <f>B3+1</f>
        <v>2017</v>
      </c>
      <c r="D3" s="234">
        <f t="shared" ref="D3:F3" si="0">C3+1</f>
        <v>2018</v>
      </c>
      <c r="E3" s="234">
        <f t="shared" si="0"/>
        <v>2019</v>
      </c>
      <c r="F3" s="234">
        <f t="shared" si="0"/>
        <v>2020</v>
      </c>
      <c r="G3" s="234">
        <f>F3+1</f>
        <v>2021</v>
      </c>
      <c r="H3" s="234">
        <f>G3+1</f>
        <v>2022</v>
      </c>
    </row>
    <row r="4" spans="1:9" x14ac:dyDescent="0.25">
      <c r="A4" s="240" t="s">
        <v>115</v>
      </c>
      <c r="B4" s="236">
        <v>1407524</v>
      </c>
      <c r="C4" s="236">
        <v>1361109</v>
      </c>
      <c r="D4" s="236">
        <v>1318319</v>
      </c>
      <c r="E4" s="312">
        <v>1278834</v>
      </c>
      <c r="F4" s="312">
        <v>1239302</v>
      </c>
      <c r="G4" s="312">
        <v>1199854</v>
      </c>
      <c r="H4" s="441">
        <f>[6]Effectifs!$R$10</f>
        <v>1160308</v>
      </c>
      <c r="I4" t="s">
        <v>171</v>
      </c>
    </row>
    <row r="5" spans="1:9" ht="25" x14ac:dyDescent="0.25">
      <c r="A5" s="241" t="s">
        <v>116</v>
      </c>
      <c r="B5" s="236">
        <v>1472688</v>
      </c>
      <c r="C5" s="236">
        <v>1426007</v>
      </c>
      <c r="D5" s="236">
        <v>1383472</v>
      </c>
      <c r="E5" s="312">
        <v>1342719</v>
      </c>
      <c r="F5" s="312">
        <v>1302368</v>
      </c>
      <c r="G5" s="312">
        <v>1254463</v>
      </c>
      <c r="H5" s="441">
        <v>1213545</v>
      </c>
      <c r="I5" t="s">
        <v>171</v>
      </c>
    </row>
    <row r="6" spans="1:9" x14ac:dyDescent="0.25">
      <c r="A6" s="240" t="s">
        <v>117</v>
      </c>
      <c r="B6" s="236">
        <v>717950</v>
      </c>
      <c r="C6" s="236">
        <v>704936</v>
      </c>
      <c r="D6" s="236">
        <v>693983</v>
      </c>
      <c r="E6" s="332">
        <v>683417</v>
      </c>
      <c r="F6" s="332">
        <v>672840</v>
      </c>
      <c r="G6" s="332">
        <v>659447</v>
      </c>
      <c r="H6" s="441">
        <v>654458</v>
      </c>
      <c r="I6" t="s">
        <v>171</v>
      </c>
    </row>
    <row r="7" spans="1:9" ht="13" thickBot="1" x14ac:dyDescent="0.3">
      <c r="A7" s="242" t="s">
        <v>118</v>
      </c>
      <c r="B7" s="237">
        <v>13444</v>
      </c>
      <c r="C7" s="237">
        <v>13360</v>
      </c>
      <c r="D7" s="237">
        <v>13162</v>
      </c>
      <c r="E7" s="331">
        <v>12882</v>
      </c>
      <c r="F7" s="331">
        <v>12486</v>
      </c>
      <c r="G7" s="331">
        <v>12393</v>
      </c>
      <c r="H7" s="442">
        <v>11887</v>
      </c>
      <c r="I7" t="s">
        <v>171</v>
      </c>
    </row>
    <row r="8" spans="1:9" ht="9" customHeight="1" x14ac:dyDescent="0.25">
      <c r="A8" s="232"/>
      <c r="B8" s="238"/>
      <c r="C8" s="238"/>
      <c r="D8" s="238"/>
      <c r="E8" s="238"/>
      <c r="F8" s="238"/>
      <c r="G8" s="238"/>
      <c r="H8" s="443"/>
    </row>
    <row r="9" spans="1:9" s="18" customFormat="1" ht="25" x14ac:dyDescent="0.25">
      <c r="A9" s="230" t="s">
        <v>119</v>
      </c>
      <c r="B9" s="239">
        <v>75899</v>
      </c>
      <c r="C9" s="239">
        <v>77218</v>
      </c>
      <c r="D9" s="239">
        <v>76395</v>
      </c>
      <c r="E9" s="313">
        <v>76889</v>
      </c>
      <c r="F9" s="313">
        <v>75389</v>
      </c>
      <c r="G9" s="313">
        <v>74937</v>
      </c>
      <c r="H9" s="444">
        <v>75110</v>
      </c>
      <c r="I9" s="18" t="s">
        <v>171</v>
      </c>
    </row>
    <row r="10" spans="1:9" x14ac:dyDescent="0.25">
      <c r="A10" s="231" t="s">
        <v>128</v>
      </c>
      <c r="B10" s="236">
        <v>495539</v>
      </c>
      <c r="C10" s="236">
        <v>484998</v>
      </c>
      <c r="D10" s="236">
        <v>477589</v>
      </c>
      <c r="E10" s="333">
        <v>468837</v>
      </c>
      <c r="F10" s="339">
        <v>461394</v>
      </c>
      <c r="G10" s="339">
        <v>455144</v>
      </c>
      <c r="H10" s="445">
        <v>448721</v>
      </c>
      <c r="I10" s="18" t="s">
        <v>171</v>
      </c>
    </row>
    <row r="12" spans="1:9" ht="13" x14ac:dyDescent="0.3">
      <c r="A12" s="17" t="s">
        <v>120</v>
      </c>
    </row>
    <row r="13" spans="1:9" ht="13" thickBot="1" x14ac:dyDescent="0.3"/>
    <row r="14" spans="1:9" ht="13" x14ac:dyDescent="0.25">
      <c r="A14" s="233" t="s">
        <v>114</v>
      </c>
      <c r="B14" s="234" t="s">
        <v>157</v>
      </c>
      <c r="C14" s="234" t="s">
        <v>163</v>
      </c>
      <c r="D14" s="235" t="s">
        <v>165</v>
      </c>
      <c r="E14" s="235" t="s">
        <v>170</v>
      </c>
      <c r="F14" s="235" t="s">
        <v>174</v>
      </c>
      <c r="G14" s="235" t="s">
        <v>184</v>
      </c>
    </row>
    <row r="15" spans="1:9" x14ac:dyDescent="0.25">
      <c r="A15" s="240" t="s">
        <v>115</v>
      </c>
      <c r="B15" s="243">
        <f>C4/B4-1</f>
        <v>-3.2976347117349314E-2</v>
      </c>
      <c r="C15" s="243">
        <f t="shared" ref="C15:D15" si="1">D4/C4-1</f>
        <v>-3.1437599780766989E-2</v>
      </c>
      <c r="D15" s="243">
        <f t="shared" si="1"/>
        <v>-2.995102095926705E-2</v>
      </c>
      <c r="E15" s="244">
        <f>F4/E4-1</f>
        <v>-3.0912534386792978E-2</v>
      </c>
      <c r="F15" s="244">
        <f>G4/F4-1</f>
        <v>-3.1830820897569723E-2</v>
      </c>
      <c r="G15" s="447">
        <f>H4/G4-1</f>
        <v>-3.2959010012884926E-2</v>
      </c>
    </row>
    <row r="16" spans="1:9" ht="25" x14ac:dyDescent="0.25">
      <c r="A16" s="241" t="s">
        <v>116</v>
      </c>
      <c r="B16" s="243">
        <f t="shared" ref="B16:E16" si="2">C5/B5-1</f>
        <v>-3.1697820583857506E-2</v>
      </c>
      <c r="C16" s="243">
        <f t="shared" si="2"/>
        <v>-2.9828044322363079E-2</v>
      </c>
      <c r="D16" s="243">
        <f>E5/D5-1</f>
        <v>-2.9457047197196662E-2</v>
      </c>
      <c r="E16" s="244">
        <f t="shared" si="2"/>
        <v>-3.0051708510864916E-2</v>
      </c>
      <c r="F16" s="244">
        <f t="shared" ref="F16:G18" si="3">G5/F5-1</f>
        <v>-3.678299835376786E-2</v>
      </c>
      <c r="G16" s="447">
        <f t="shared" si="3"/>
        <v>-3.2617940903797105E-2</v>
      </c>
    </row>
    <row r="17" spans="1:8" x14ac:dyDescent="0.25">
      <c r="A17" s="240" t="s">
        <v>203</v>
      </c>
      <c r="B17" s="243">
        <f t="shared" ref="B17:E17" si="4">C6/B6-1</f>
        <v>-1.8126610488195527E-2</v>
      </c>
      <c r="C17" s="243">
        <f t="shared" si="4"/>
        <v>-1.5537580716547317E-2</v>
      </c>
      <c r="D17" s="243">
        <f>E6/D6-1</f>
        <v>-1.5225156812198604E-2</v>
      </c>
      <c r="E17" s="244">
        <f t="shared" si="4"/>
        <v>-1.5476641640462585E-2</v>
      </c>
      <c r="F17" s="244">
        <f t="shared" si="3"/>
        <v>-1.9905178051245476E-2</v>
      </c>
      <c r="G17" s="447">
        <f t="shared" si="3"/>
        <v>-7.5654298222601613E-3</v>
      </c>
    </row>
    <row r="18" spans="1:8" ht="13" thickBot="1" x14ac:dyDescent="0.3">
      <c r="A18" s="242" t="s">
        <v>118</v>
      </c>
      <c r="B18" s="245">
        <f t="shared" ref="B18:E18" si="5">C7/B7-1</f>
        <v>-6.248140434394478E-3</v>
      </c>
      <c r="C18" s="245">
        <f t="shared" si="5"/>
        <v>-1.4820359281437101E-2</v>
      </c>
      <c r="D18" s="245">
        <f t="shared" si="5"/>
        <v>-2.1273362710834243E-2</v>
      </c>
      <c r="E18" s="246">
        <f t="shared" si="5"/>
        <v>-3.0740568234746135E-2</v>
      </c>
      <c r="F18" s="246">
        <f t="shared" si="3"/>
        <v>-7.4483421432003372E-3</v>
      </c>
      <c r="G18" s="448">
        <f t="shared" si="3"/>
        <v>-4.0829500524489637E-2</v>
      </c>
    </row>
    <row r="19" spans="1:8" ht="9" customHeight="1" x14ac:dyDescent="0.25">
      <c r="A19" s="232"/>
      <c r="B19" s="247"/>
      <c r="C19" s="247"/>
      <c r="D19" s="247"/>
      <c r="E19" s="247"/>
      <c r="F19" s="247"/>
      <c r="G19" s="449"/>
    </row>
    <row r="20" spans="1:8" ht="25" x14ac:dyDescent="0.25">
      <c r="A20" s="230" t="s">
        <v>119</v>
      </c>
      <c r="B20" s="243">
        <f t="shared" ref="B20:D20" si="6">C9/B9-1</f>
        <v>1.7378358081134193E-2</v>
      </c>
      <c r="C20" s="243">
        <f t="shared" si="6"/>
        <v>-1.0658136703877386E-2</v>
      </c>
      <c r="D20" s="243">
        <f t="shared" si="6"/>
        <v>6.4663917795666492E-3</v>
      </c>
      <c r="E20" s="243">
        <f>F9/E9-1</f>
        <v>-1.950864232855154E-2</v>
      </c>
      <c r="F20" s="243">
        <f>G9/F9-1</f>
        <v>-5.9955696454390139E-3</v>
      </c>
      <c r="G20" s="450">
        <f>H9/G9-1</f>
        <v>2.308605895618987E-3</v>
      </c>
    </row>
    <row r="21" spans="1:8" x14ac:dyDescent="0.25">
      <c r="A21" s="231" t="str">
        <f>A10</f>
        <v>Cotisants NSA au 1er janvier (hors DOM)</v>
      </c>
      <c r="B21" s="243">
        <f t="shared" ref="B21:E21" si="7">C10/B10-1</f>
        <v>-2.1271786882566257E-2</v>
      </c>
      <c r="C21" s="243">
        <f t="shared" si="7"/>
        <v>-1.5276351655058362E-2</v>
      </c>
      <c r="D21" s="243">
        <f t="shared" si="7"/>
        <v>-1.832538019091734E-2</v>
      </c>
      <c r="E21" s="243">
        <f t="shared" si="7"/>
        <v>-1.587545351582742E-2</v>
      </c>
      <c r="F21" s="243">
        <f>G10/F10-1</f>
        <v>-1.3545906535412211E-2</v>
      </c>
      <c r="G21" s="450">
        <f>H10/G10-1</f>
        <v>-1.4112017295625168E-2</v>
      </c>
    </row>
    <row r="22" spans="1:8" ht="13" thickBot="1" x14ac:dyDescent="0.3"/>
    <row r="23" spans="1:8" ht="13" x14ac:dyDescent="0.25">
      <c r="B23" s="234">
        <v>2019</v>
      </c>
      <c r="C23" s="234">
        <v>2020</v>
      </c>
      <c r="D23" s="235" t="s">
        <v>170</v>
      </c>
      <c r="E23" s="234">
        <v>2021</v>
      </c>
      <c r="F23" s="235" t="s">
        <v>174</v>
      </c>
      <c r="G23" s="234">
        <v>2022</v>
      </c>
      <c r="H23" s="235" t="s">
        <v>184</v>
      </c>
    </row>
    <row r="24" spans="1:8" ht="13" x14ac:dyDescent="0.3">
      <c r="A24" s="231" t="s">
        <v>128</v>
      </c>
      <c r="B24" s="438">
        <f>SUM(B25:B27)</f>
        <v>468837</v>
      </c>
      <c r="C24" s="438">
        <f>SUM(C25:C27)</f>
        <v>461394</v>
      </c>
      <c r="D24" s="439">
        <f>C24/B24-1</f>
        <v>-1.587545351582742E-2</v>
      </c>
      <c r="E24" s="438">
        <f>SUM(E25:E27)</f>
        <v>455136</v>
      </c>
      <c r="F24" s="439">
        <f>E24/C24-1</f>
        <v>-1.3563245295777571E-2</v>
      </c>
      <c r="G24" s="438">
        <f>SUM(G25:G27)</f>
        <v>448721</v>
      </c>
      <c r="H24" s="439">
        <f>G24/E24-1</f>
        <v>-1.4094688181115145E-2</v>
      </c>
    </row>
    <row r="25" spans="1:8" ht="13" x14ac:dyDescent="0.3">
      <c r="A25" s="231" t="s">
        <v>166</v>
      </c>
      <c r="B25" s="437">
        <v>441747</v>
      </c>
      <c r="C25" s="437">
        <v>435790</v>
      </c>
      <c r="D25" s="340">
        <f t="shared" ref="D25:D27" si="8">C25/B25-1</f>
        <v>-1.3485094409243281E-2</v>
      </c>
      <c r="E25" s="437">
        <v>430824</v>
      </c>
      <c r="F25" s="340">
        <f t="shared" ref="F25:F26" si="9">E25/C25-1</f>
        <v>-1.1395396865462759E-2</v>
      </c>
      <c r="G25" s="446">
        <f>'[7]Cotisations NSA - Tableaux 1à4 '!$E$5</f>
        <v>425857</v>
      </c>
      <c r="H25" s="340">
        <f>G25/E25-1</f>
        <v>-1.1529069875401587E-2</v>
      </c>
    </row>
    <row r="26" spans="1:8" ht="13" x14ac:dyDescent="0.3">
      <c r="A26" s="231" t="s">
        <v>167</v>
      </c>
      <c r="B26" s="437">
        <v>24308</v>
      </c>
      <c r="C26" s="437">
        <v>22870</v>
      </c>
      <c r="D26" s="340">
        <f t="shared" si="8"/>
        <v>-5.9157479019252945E-2</v>
      </c>
      <c r="E26" s="437">
        <v>21610</v>
      </c>
      <c r="F26" s="340">
        <f t="shared" si="9"/>
        <v>-5.5094009619588991E-2</v>
      </c>
      <c r="G26" s="446">
        <f>'[7]Cotisations NSA - Tableaux 1à4 '!$E$6</f>
        <v>20060</v>
      </c>
      <c r="H26" s="340">
        <f>G26/E26-1</f>
        <v>-7.1726052753354974E-2</v>
      </c>
    </row>
    <row r="27" spans="1:8" ht="13" x14ac:dyDescent="0.3">
      <c r="A27" s="231" t="s">
        <v>168</v>
      </c>
      <c r="B27" s="437">
        <v>2782</v>
      </c>
      <c r="C27" s="437">
        <v>2734</v>
      </c>
      <c r="D27" s="340">
        <f t="shared" si="8"/>
        <v>-1.7253774263120025E-2</v>
      </c>
      <c r="E27" s="437">
        <v>2702</v>
      </c>
      <c r="F27" s="340">
        <f>E27/C27-1</f>
        <v>-1.1704462326261877E-2</v>
      </c>
      <c r="G27" s="446">
        <f>'[7]Cotisations NSA - Tableaux 1à4 '!$E$7</f>
        <v>2804</v>
      </c>
      <c r="H27" s="340">
        <f>G27/E27-1</f>
        <v>3.7749814951887561E-2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N60"/>
  <sheetViews>
    <sheetView topLeftCell="L1" zoomScale="80" zoomScaleNormal="80" workbookViewId="0">
      <selection activeCell="O28" sqref="O28"/>
    </sheetView>
  </sheetViews>
  <sheetFormatPr baseColWidth="10" defaultRowHeight="12.5" x14ac:dyDescent="0.25"/>
  <cols>
    <col min="1" max="1" width="42" customWidth="1"/>
    <col min="6" max="6" width="14.453125" customWidth="1"/>
    <col min="8" max="8" width="32" customWidth="1"/>
    <col min="9" max="9" width="9.81640625" customWidth="1"/>
    <col min="10" max="13" width="9.54296875" customWidth="1"/>
    <col min="14" max="14" width="13.54296875" bestFit="1" customWidth="1"/>
  </cols>
  <sheetData>
    <row r="1" spans="1:11" ht="13" x14ac:dyDescent="0.3">
      <c r="A1" s="17" t="s">
        <v>0</v>
      </c>
      <c r="B1" s="17">
        <f>'COMPTES NSA (Chiffres Utiles)ok'!D3</f>
        <v>2021</v>
      </c>
      <c r="C1" s="314">
        <f>'COMPTES NSA (Chiffres Utiles)ok'!E3</f>
        <v>2022</v>
      </c>
      <c r="D1" s="178" t="s">
        <v>27</v>
      </c>
      <c r="E1" s="17" t="s">
        <v>58</v>
      </c>
      <c r="F1" s="17" t="s">
        <v>59</v>
      </c>
    </row>
    <row r="2" spans="1:11" x14ac:dyDescent="0.25">
      <c r="A2" s="205" t="s">
        <v>20</v>
      </c>
      <c r="B2" s="206">
        <f>'NSA1 ok'!B3</f>
        <v>13820.50986027</v>
      </c>
      <c r="C2" s="315">
        <f>'NSA1 ok'!C3</f>
        <v>14285.787028759998</v>
      </c>
      <c r="D2" s="207">
        <f>C2/$C$9</f>
        <v>0.85755083751418937</v>
      </c>
      <c r="E2" s="209">
        <f t="shared" ref="E2:E8" si="0">C2/B2-1</f>
        <v>3.3665702148047094E-2</v>
      </c>
      <c r="F2" s="208">
        <f t="shared" ref="F2:F9" si="1">(B2/$B$9)*E2*100</f>
        <v>2.8831025379234676</v>
      </c>
      <c r="H2" t="s">
        <v>133</v>
      </c>
    </row>
    <row r="3" spans="1:11" x14ac:dyDescent="0.25">
      <c r="A3" s="271" t="s">
        <v>136</v>
      </c>
      <c r="B3" s="206">
        <f>'COMPTES NSA (Chiffres Utiles)ok'!D27</f>
        <v>544.38655560000007</v>
      </c>
      <c r="C3" s="315">
        <f>'COMPTES NSA (Chiffres Utiles)ok'!E27</f>
        <v>549.89695474999996</v>
      </c>
      <c r="D3" s="207">
        <f t="shared" ref="D3:D8" si="2">C3/$C$9</f>
        <v>3.3009353502401778E-2</v>
      </c>
      <c r="E3" s="209">
        <f t="shared" si="0"/>
        <v>1.0122217555366575E-2</v>
      </c>
      <c r="F3" s="208">
        <f t="shared" si="1"/>
        <v>3.4145337124311205E-2</v>
      </c>
      <c r="H3" t="s">
        <v>134</v>
      </c>
      <c r="J3" s="29">
        <v>0</v>
      </c>
      <c r="K3" s="175">
        <f>J3/C3</f>
        <v>0</v>
      </c>
    </row>
    <row r="4" spans="1:11" x14ac:dyDescent="0.25">
      <c r="A4" s="146" t="s">
        <v>61</v>
      </c>
      <c r="B4" s="147">
        <f>'COMPTES NSA (Chiffres Utiles)ok'!D43</f>
        <v>1073.1753624799999</v>
      </c>
      <c r="C4" s="316">
        <f>'COMPTES NSA (Chiffres Utiles)ok'!E43</f>
        <v>1024.7162281400001</v>
      </c>
      <c r="D4" s="143">
        <f t="shared" si="2"/>
        <v>6.151192495637485E-2</v>
      </c>
      <c r="E4" s="212">
        <f t="shared" si="0"/>
        <v>-4.5154907608031203E-2</v>
      </c>
      <c r="F4" s="191">
        <f t="shared" si="1"/>
        <v>-0.3002783344273019</v>
      </c>
      <c r="H4" t="s">
        <v>135</v>
      </c>
      <c r="J4" s="29">
        <v>935.21756369000002</v>
      </c>
      <c r="K4" s="175">
        <f>J4/C3</f>
        <v>1.7007142076558301</v>
      </c>
    </row>
    <row r="5" spans="1:11" x14ac:dyDescent="0.25">
      <c r="A5" t="s">
        <v>62</v>
      </c>
      <c r="B5" s="29">
        <f>'COMPTES NSA (Chiffres Utiles)ok'!D50</f>
        <v>436.29975950999994</v>
      </c>
      <c r="C5" s="317">
        <f>'COMPTES NSA (Chiffres Utiles)ok'!E50</f>
        <v>534.21964838999997</v>
      </c>
      <c r="D5" s="175">
        <f t="shared" si="2"/>
        <v>3.2068272190471328E-2</v>
      </c>
      <c r="E5" s="210">
        <f t="shared" si="0"/>
        <v>0.22443259879393929</v>
      </c>
      <c r="F5" s="2">
        <f t="shared" si="1"/>
        <v>0.60676323546957134</v>
      </c>
    </row>
    <row r="6" spans="1:11" x14ac:dyDescent="0.25">
      <c r="A6" t="s">
        <v>60</v>
      </c>
      <c r="B6" s="29">
        <f>'COMPTES NSA (Chiffres Utiles)ok'!D5-'NSA1 ok'!B3</f>
        <v>134.91152910000164</v>
      </c>
      <c r="C6" s="317">
        <f>'COMPTES NSA (Chiffres Utiles)ok'!E5-'NSA1 ok'!C3</f>
        <v>246.26101210000343</v>
      </c>
      <c r="D6" s="175">
        <f t="shared" si="2"/>
        <v>1.478261832885383E-2</v>
      </c>
      <c r="E6" s="210">
        <f t="shared" si="0"/>
        <v>0.82535187128051324</v>
      </c>
      <c r="F6" s="2">
        <f t="shared" si="1"/>
        <v>0.68998007805893957</v>
      </c>
    </row>
    <row r="7" spans="1:11" x14ac:dyDescent="0.25">
      <c r="A7" t="s">
        <v>21</v>
      </c>
      <c r="B7" s="29">
        <f>'COMPTES NSA (Chiffres Utiles)ok'!D36</f>
        <v>124.60882316000001</v>
      </c>
      <c r="C7" s="317">
        <f>'COMPTES NSA (Chiffres Utiles)ok'!E36</f>
        <v>9.9508104500000005</v>
      </c>
      <c r="D7" s="175">
        <f t="shared" si="2"/>
        <v>5.9732976686291384E-4</v>
      </c>
      <c r="E7" s="210">
        <f t="shared" si="0"/>
        <v>-0.92014361264592814</v>
      </c>
      <c r="F7" s="2">
        <f t="shared" si="1"/>
        <v>-0.71048147174358633</v>
      </c>
    </row>
    <row r="8" spans="1:11" x14ac:dyDescent="0.25">
      <c r="A8" t="s">
        <v>63</v>
      </c>
      <c r="B8" s="29">
        <f>'COMPTES NSA (Chiffres Utiles)ok'!D29</f>
        <v>4.1802862899999997</v>
      </c>
      <c r="C8" s="317">
        <f>'COMPTES NSA (Chiffres Utiles)ok'!E29</f>
        <v>7.9906330300000006</v>
      </c>
      <c r="D8" s="175">
        <f t="shared" si="2"/>
        <v>4.7966374084605325E-4</v>
      </c>
      <c r="E8" s="210">
        <f t="shared" si="0"/>
        <v>0.9115037764554641</v>
      </c>
      <c r="F8" s="2">
        <f t="shared" si="1"/>
        <v>2.361091646107405E-2</v>
      </c>
    </row>
    <row r="9" spans="1:11" ht="13" x14ac:dyDescent="0.3">
      <c r="A9" s="17" t="s">
        <v>25</v>
      </c>
      <c r="B9" s="30">
        <f>SUM(B2:B8)</f>
        <v>16138.072176410004</v>
      </c>
      <c r="C9" s="318">
        <f>SUM(C2:C8)</f>
        <v>16658.82231562</v>
      </c>
      <c r="D9" s="176">
        <f>SUM(D2:D8)</f>
        <v>1</v>
      </c>
      <c r="E9" s="211">
        <f>C9/B9-1</f>
        <v>3.2268422988664502E-2</v>
      </c>
      <c r="F9" s="177">
        <f t="shared" si="1"/>
        <v>3.2268422988664502</v>
      </c>
    </row>
    <row r="10" spans="1:11" s="248" customFormat="1" ht="10" x14ac:dyDescent="0.2">
      <c r="B10" s="303">
        <f>'COMPTES NSA (Chiffres Utiles)ok'!D57</f>
        <v>16138.072176410004</v>
      </c>
      <c r="C10" s="303">
        <f>'COMPTES NSA (Chiffres Utiles)ok'!E57</f>
        <v>16658.82231562</v>
      </c>
    </row>
    <row r="12" spans="1:11" ht="13" x14ac:dyDescent="0.3">
      <c r="H12" s="413" t="s">
        <v>0</v>
      </c>
      <c r="I12" s="17" t="s">
        <v>59</v>
      </c>
    </row>
    <row r="13" spans="1:11" x14ac:dyDescent="0.25">
      <c r="H13" s="414" t="s">
        <v>187</v>
      </c>
      <c r="I13" s="277">
        <f>F2</f>
        <v>2.8831025379234676</v>
      </c>
    </row>
    <row r="14" spans="1:11" x14ac:dyDescent="0.25">
      <c r="B14" s="29"/>
      <c r="C14" s="29"/>
      <c r="D14" s="175"/>
      <c r="E14" s="175"/>
      <c r="F14" s="2"/>
      <c r="H14" s="414" t="s">
        <v>188</v>
      </c>
      <c r="I14" s="277">
        <f t="shared" ref="I14:I19" si="3">F3</f>
        <v>3.4145337124311205E-2</v>
      </c>
    </row>
    <row r="15" spans="1:11" x14ac:dyDescent="0.25">
      <c r="B15" s="29"/>
      <c r="C15" s="29"/>
      <c r="D15" s="175"/>
      <c r="E15" s="175"/>
      <c r="F15" s="2"/>
      <c r="H15" s="415" t="s">
        <v>189</v>
      </c>
      <c r="I15" s="278">
        <f t="shared" si="3"/>
        <v>-0.3002783344273019</v>
      </c>
    </row>
    <row r="16" spans="1:11" x14ac:dyDescent="0.25">
      <c r="B16" s="29"/>
      <c r="C16" s="29"/>
      <c r="D16" s="175"/>
      <c r="E16" s="175"/>
      <c r="F16" s="2"/>
      <c r="H16" s="416" t="s">
        <v>190</v>
      </c>
      <c r="I16" s="279">
        <f t="shared" si="3"/>
        <v>0.60676323546957134</v>
      </c>
    </row>
    <row r="17" spans="1:9" x14ac:dyDescent="0.25">
      <c r="B17" s="29"/>
      <c r="C17" s="29"/>
      <c r="D17" s="175"/>
      <c r="E17" s="175"/>
      <c r="F17" s="2"/>
      <c r="H17" s="416" t="s">
        <v>191</v>
      </c>
      <c r="I17" s="279">
        <f t="shared" si="3"/>
        <v>0.68998007805893957</v>
      </c>
    </row>
    <row r="18" spans="1:9" x14ac:dyDescent="0.25">
      <c r="A18" s="146"/>
      <c r="B18" s="29"/>
      <c r="C18" s="29"/>
      <c r="D18" s="175"/>
      <c r="E18" s="175"/>
      <c r="F18" s="2"/>
      <c r="H18" s="416" t="s">
        <v>192</v>
      </c>
      <c r="I18" s="279">
        <f t="shared" si="3"/>
        <v>-0.71048147174358633</v>
      </c>
    </row>
    <row r="19" spans="1:9" x14ac:dyDescent="0.25">
      <c r="A19" s="146"/>
      <c r="B19" s="29"/>
      <c r="C19" s="29"/>
      <c r="D19" s="175"/>
      <c r="E19" s="175"/>
      <c r="F19" s="2"/>
      <c r="H19" s="416" t="s">
        <v>193</v>
      </c>
      <c r="I19" s="279">
        <f t="shared" si="3"/>
        <v>2.361091646107405E-2</v>
      </c>
    </row>
    <row r="20" spans="1:9" ht="13" x14ac:dyDescent="0.3">
      <c r="A20" s="146"/>
      <c r="B20" s="29"/>
      <c r="C20" s="29"/>
      <c r="D20" s="175"/>
      <c r="E20" s="175"/>
      <c r="F20" s="2"/>
      <c r="H20" s="413" t="s">
        <v>25</v>
      </c>
      <c r="I20" s="280">
        <f>SUM(I13:I19)</f>
        <v>3.2268422988664751</v>
      </c>
    </row>
    <row r="21" spans="1:9" ht="13" x14ac:dyDescent="0.3">
      <c r="A21" s="179"/>
      <c r="B21" s="30"/>
      <c r="C21" s="30"/>
      <c r="D21" s="176"/>
      <c r="E21" s="176"/>
      <c r="F21" s="177"/>
    </row>
    <row r="23" spans="1:9" x14ac:dyDescent="0.25">
      <c r="C23" s="180"/>
    </row>
    <row r="37" spans="1:14" ht="13" x14ac:dyDescent="0.3">
      <c r="A37" s="17" t="s">
        <v>137</v>
      </c>
      <c r="B37" s="17">
        <f>B1</f>
        <v>2021</v>
      </c>
      <c r="C37" s="314">
        <f>C1</f>
        <v>2022</v>
      </c>
      <c r="D37" s="178" t="s">
        <v>27</v>
      </c>
      <c r="E37" s="319" t="s">
        <v>58</v>
      </c>
      <c r="F37" s="320" t="s">
        <v>59</v>
      </c>
    </row>
    <row r="38" spans="1:14" x14ac:dyDescent="0.25">
      <c r="A38" s="271" t="s">
        <v>161</v>
      </c>
      <c r="B38" s="206">
        <f>'COMPTES NSA (Chiffres Utiles)ok'!D7+'COMPTES NSA (Chiffres Utiles)ok'!D14+'COMPTES NSA (Chiffres Utiles)ok'!D21+'COMPTES NSA (Chiffres Utiles)ok'!D30+'COMPTES NSA (Chiffres Utiles)ok'!D37+'COMPTES NSA (Chiffres Utiles)ok'!D44+'COMPTES NSA (Chiffres Utiles)ok'!D51</f>
        <v>7199.0201815900009</v>
      </c>
      <c r="C38" s="315">
        <f>'COMPTES NSA (Chiffres Utiles)ok'!E7+'COMPTES NSA (Chiffres Utiles)ok'!E14+'COMPTES NSA (Chiffres Utiles)ok'!E21+'COMPTES NSA (Chiffres Utiles)ok'!E30+'COMPTES NSA (Chiffres Utiles)ok'!E37+'COMPTES NSA (Chiffres Utiles)ok'!E44+'COMPTES NSA (Chiffres Utiles)ok'!E51</f>
        <v>7303.6836321400006</v>
      </c>
      <c r="D38" s="207">
        <f t="shared" ref="D38:D43" si="4">C38/$C$43</f>
        <v>0.43842736861967518</v>
      </c>
      <c r="E38" s="321">
        <f t="shared" ref="E38:E43" si="5">C38/B38-1</f>
        <v>1.4538568848251776E-2</v>
      </c>
      <c r="F38" s="322">
        <f t="shared" ref="F38:F42" si="6">(B38/$B$43)*E38*100</f>
        <v>0.64854989744681613</v>
      </c>
    </row>
    <row r="39" spans="1:14" x14ac:dyDescent="0.25">
      <c r="A39" s="260" t="s">
        <v>160</v>
      </c>
      <c r="B39" s="147">
        <f>'COMPTES NSA (Chiffres Utiles)ok'!D8+'COMPTES NSA (Chiffres Utiles)ok'!D15+'COMPTES NSA (Chiffres Utiles)ok'!D22+'COMPTES NSA (Chiffres Utiles)ok'!D31+'COMPTES NSA (Chiffres Utiles)ok'!D38+'COMPTES NSA (Chiffres Utiles)ok'!D45+'COMPTES NSA (Chiffres Utiles)ok'!D52</f>
        <v>417.89872454999994</v>
      </c>
      <c r="C39" s="316">
        <f>'COMPTES NSA (Chiffres Utiles)ok'!E8+'COMPTES NSA (Chiffres Utiles)ok'!E15+'COMPTES NSA (Chiffres Utiles)ok'!E22+'COMPTES NSA (Chiffres Utiles)ok'!E31+'COMPTES NSA (Chiffres Utiles)ok'!E38+'COMPTES NSA (Chiffres Utiles)ok'!E45+'COMPTES NSA (Chiffres Utiles)ok'!E52</f>
        <v>422.34210016999998</v>
      </c>
      <c r="D39" s="143">
        <f t="shared" si="4"/>
        <v>2.5352458425227008E-2</v>
      </c>
      <c r="E39" s="323">
        <f t="shared" si="5"/>
        <v>1.0632661357808049E-2</v>
      </c>
      <c r="F39" s="324">
        <f t="shared" si="6"/>
        <v>2.7533497008987266E-2</v>
      </c>
    </row>
    <row r="40" spans="1:14" x14ac:dyDescent="0.25">
      <c r="A40" t="s">
        <v>66</v>
      </c>
      <c r="B40" s="29">
        <f>'COMPTES NSA (Chiffres Utiles)ok'!D9+'COMPTES NSA (Chiffres Utiles)ok'!D16+'COMPTES NSA (Chiffres Utiles)ok'!D23+'COMPTES NSA (Chiffres Utiles)ok'!D32+'COMPTES NSA (Chiffres Utiles)ok'!D39+'COMPTES NSA (Chiffres Utiles)ok'!D46+'COMPTES NSA (Chiffres Utiles)ok'!D53</f>
        <v>550.85053779000009</v>
      </c>
      <c r="C40" s="317">
        <f>'COMPTES NSA (Chiffres Utiles)ok'!E9+'COMPTES NSA (Chiffres Utiles)ok'!E16+'COMPTES NSA (Chiffres Utiles)ok'!E23+'COMPTES NSA (Chiffres Utiles)ok'!E32+'COMPTES NSA (Chiffres Utiles)ok'!E39+'COMPTES NSA (Chiffres Utiles)ok'!E46+'COMPTES NSA (Chiffres Utiles)ok'!E53</f>
        <v>660.4635208200001</v>
      </c>
      <c r="D40" s="175">
        <f t="shared" si="4"/>
        <v>3.9646471299518107E-2</v>
      </c>
      <c r="E40" s="325">
        <f t="shared" si="5"/>
        <v>0.19898861035838289</v>
      </c>
      <c r="F40" s="326">
        <f t="shared" si="6"/>
        <v>0.67921980910599677</v>
      </c>
    </row>
    <row r="41" spans="1:14" x14ac:dyDescent="0.25">
      <c r="A41" s="205" t="s">
        <v>67</v>
      </c>
      <c r="B41" s="206">
        <f>'COMPTES NSA (Chiffres Utiles)ok'!D11+'COMPTES NSA (Chiffres Utiles)ok'!D18+'COMPTES NSA (Chiffres Utiles)ok'!D25+'COMPTES NSA (Chiffres Utiles)ok'!D34+'COMPTES NSA (Chiffres Utiles)ok'!D41+'COMPTES NSA (Chiffres Utiles)ok'!D48+'COMPTES NSA (Chiffres Utiles)ok'!D55</f>
        <v>7053.1216465200005</v>
      </c>
      <c r="C41" s="315">
        <f>'COMPTES NSA (Chiffres Utiles)ok'!E11+'COMPTES NSA (Chiffres Utiles)ok'!E18+'COMPTES NSA (Chiffres Utiles)ok'!E25+'COMPTES NSA (Chiffres Utiles)ok'!E34+'COMPTES NSA (Chiffres Utiles)ok'!E41+'COMPTES NSA (Chiffres Utiles)ok'!E48+'COMPTES NSA (Chiffres Utiles)ok'!E55</f>
        <v>7099.6168018699982</v>
      </c>
      <c r="D41" s="207">
        <f t="shared" si="4"/>
        <v>0.4261775933112093</v>
      </c>
      <c r="E41" s="321">
        <f t="shared" si="5"/>
        <v>6.5921385848970449E-3</v>
      </c>
      <c r="F41" s="322">
        <f t="shared" si="6"/>
        <v>0.28810848558455365</v>
      </c>
    </row>
    <row r="42" spans="1:14" x14ac:dyDescent="0.25">
      <c r="A42" t="s">
        <v>40</v>
      </c>
      <c r="B42" s="29">
        <f>'COMPTES NSA (Chiffres Utiles)ok'!D54+'COMPTES NSA (Chiffres Utiles)ok'!D47+'COMPTES NSA (Chiffres Utiles)ok'!D40+'COMPTES NSA (Chiffres Utiles)ok'!D33+'COMPTES NSA (Chiffres Utiles)ok'!D24+'COMPTES NSA (Chiffres Utiles)ok'!D17+'COMPTES NSA (Chiffres Utiles)ok'!D10</f>
        <v>917.18108596000002</v>
      </c>
      <c r="C42" s="317">
        <f>'COMPTES NSA (Chiffres Utiles)ok'!E54+'COMPTES NSA (Chiffres Utiles)ok'!E47+'COMPTES NSA (Chiffres Utiles)ok'!E40+'COMPTES NSA (Chiffres Utiles)ok'!E33+'COMPTES NSA (Chiffres Utiles)ok'!E24+'COMPTES NSA (Chiffres Utiles)ok'!E17+'COMPTES NSA (Chiffres Utiles)ok'!E10</f>
        <v>1172.71626062</v>
      </c>
      <c r="D42" s="175">
        <f>C42/$C$43</f>
        <v>7.0396108344370337E-2</v>
      </c>
      <c r="E42" s="325">
        <f t="shared" si="5"/>
        <v>0.27860929381522848</v>
      </c>
      <c r="F42" s="326">
        <f t="shared" si="6"/>
        <v>1.5834306097201076</v>
      </c>
    </row>
    <row r="43" spans="1:14" ht="13" x14ac:dyDescent="0.3">
      <c r="A43" s="17" t="s">
        <v>159</v>
      </c>
      <c r="B43" s="30">
        <f>SUM(B38:B42)</f>
        <v>16138.072176410002</v>
      </c>
      <c r="C43" s="318">
        <f>SUM(C38:C42)</f>
        <v>16658.82231562</v>
      </c>
      <c r="D43" s="176">
        <f t="shared" si="4"/>
        <v>1</v>
      </c>
      <c r="E43" s="327">
        <f t="shared" si="5"/>
        <v>3.2268422988664724E-2</v>
      </c>
      <c r="F43" s="328">
        <f>(B43/$B$43)*E43*100</f>
        <v>3.2268422988664724</v>
      </c>
    </row>
    <row r="44" spans="1:14" x14ac:dyDescent="0.25">
      <c r="B44" s="190"/>
      <c r="C44" s="190"/>
      <c r="H44" s="282"/>
      <c r="I44" s="281" t="s">
        <v>140</v>
      </c>
      <c r="J44" s="281" t="s">
        <v>65</v>
      </c>
      <c r="K44" s="281" t="s">
        <v>66</v>
      </c>
      <c r="L44" s="281" t="s">
        <v>67</v>
      </c>
      <c r="M44" s="281" t="s">
        <v>40</v>
      </c>
      <c r="N44" s="308" t="s">
        <v>148</v>
      </c>
    </row>
    <row r="45" spans="1:14" ht="13" x14ac:dyDescent="0.3">
      <c r="A45" s="273"/>
      <c r="B45" s="274"/>
      <c r="C45" s="274"/>
      <c r="D45" s="273"/>
      <c r="E45" s="275"/>
      <c r="F45" s="273"/>
      <c r="H45" s="468" t="s">
        <v>185</v>
      </c>
      <c r="I45" s="469">
        <f>E38</f>
        <v>1.4538568848251776E-2</v>
      </c>
      <c r="J45" s="469">
        <f>E39</f>
        <v>1.0632661357808049E-2</v>
      </c>
      <c r="K45" s="469">
        <f>E40</f>
        <v>0.19898861035838289</v>
      </c>
      <c r="L45" s="469">
        <f>E41</f>
        <v>6.5921385848970449E-3</v>
      </c>
      <c r="M45" s="469">
        <f>E42</f>
        <v>0.27860929381522848</v>
      </c>
      <c r="N45" s="465">
        <f>E43</f>
        <v>3.2268422988664724E-2</v>
      </c>
    </row>
    <row r="46" spans="1:14" x14ac:dyDescent="0.25">
      <c r="A46" s="252"/>
      <c r="B46" s="190"/>
      <c r="C46" s="190"/>
      <c r="H46" s="468"/>
      <c r="I46" s="469"/>
      <c r="J46" s="469"/>
      <c r="K46" s="469"/>
      <c r="L46" s="469"/>
      <c r="M46" s="469"/>
      <c r="N46" s="465"/>
    </row>
    <row r="47" spans="1:14" ht="13" x14ac:dyDescent="0.3">
      <c r="A47" s="179"/>
      <c r="B47" s="179"/>
      <c r="C47" s="179"/>
      <c r="D47" s="304"/>
      <c r="E47" s="179"/>
      <c r="F47" s="179"/>
      <c r="H47" s="468" t="s">
        <v>186</v>
      </c>
      <c r="I47" s="467">
        <f>F38</f>
        <v>0.64854989744681613</v>
      </c>
      <c r="J47" s="467">
        <f>F39</f>
        <v>2.7533497008987266E-2</v>
      </c>
      <c r="K47" s="467">
        <f>F40</f>
        <v>0.67921980910599677</v>
      </c>
      <c r="L47" s="467">
        <f>F41</f>
        <v>0.28810848558455365</v>
      </c>
      <c r="M47" s="467">
        <f>F42</f>
        <v>1.5834306097201076</v>
      </c>
      <c r="N47" s="466">
        <f>SUM(I47:M48)</f>
        <v>3.2268422988664613</v>
      </c>
    </row>
    <row r="48" spans="1:14" x14ac:dyDescent="0.25">
      <c r="A48" s="146"/>
      <c r="B48" s="147"/>
      <c r="C48" s="147"/>
      <c r="D48" s="143"/>
      <c r="E48" s="143"/>
      <c r="F48" s="191"/>
      <c r="H48" s="468"/>
      <c r="I48" s="467"/>
      <c r="J48" s="467"/>
      <c r="K48" s="467"/>
      <c r="L48" s="467"/>
      <c r="M48" s="467"/>
      <c r="N48" s="466"/>
    </row>
    <row r="49" spans="1:6" x14ac:dyDescent="0.25">
      <c r="A49" s="260"/>
      <c r="B49" s="147"/>
      <c r="C49" s="147"/>
      <c r="D49" s="143"/>
      <c r="E49" s="143"/>
      <c r="F49" s="191"/>
    </row>
    <row r="50" spans="1:6" x14ac:dyDescent="0.25">
      <c r="A50" s="146"/>
      <c r="B50" s="147"/>
      <c r="C50" s="147"/>
      <c r="D50" s="143"/>
      <c r="E50" s="143"/>
      <c r="F50" s="191"/>
    </row>
    <row r="51" spans="1:6" x14ac:dyDescent="0.25">
      <c r="A51" s="146"/>
      <c r="B51" s="147"/>
      <c r="C51" s="147"/>
      <c r="D51" s="143"/>
      <c r="E51" s="143"/>
      <c r="F51" s="191"/>
    </row>
    <row r="52" spans="1:6" x14ac:dyDescent="0.25">
      <c r="A52" s="146"/>
      <c r="B52" s="147"/>
      <c r="C52" s="147"/>
      <c r="D52" s="143"/>
      <c r="E52" s="143"/>
      <c r="F52" s="191"/>
    </row>
    <row r="53" spans="1:6" x14ac:dyDescent="0.25">
      <c r="A53" s="146"/>
      <c r="B53" s="147"/>
      <c r="C53" s="147"/>
      <c r="D53" s="143"/>
      <c r="E53" s="143"/>
      <c r="F53" s="191"/>
    </row>
    <row r="54" spans="1:6" ht="13" x14ac:dyDescent="0.3">
      <c r="A54" s="179"/>
      <c r="B54" s="182"/>
      <c r="C54" s="182"/>
      <c r="D54" s="183"/>
      <c r="E54" s="183"/>
      <c r="F54" s="272"/>
    </row>
    <row r="55" spans="1:6" x14ac:dyDescent="0.25">
      <c r="A55" s="146"/>
      <c r="B55" s="146"/>
      <c r="C55" s="146"/>
      <c r="D55" s="146"/>
      <c r="E55" s="146"/>
      <c r="F55" s="146"/>
    </row>
    <row r="56" spans="1:6" ht="13" x14ac:dyDescent="0.3">
      <c r="A56" s="305"/>
      <c r="B56" s="306"/>
      <c r="C56" s="306"/>
      <c r="D56" s="305"/>
      <c r="E56" s="307"/>
      <c r="F56" s="305"/>
    </row>
    <row r="57" spans="1:6" x14ac:dyDescent="0.25">
      <c r="A57" s="170"/>
    </row>
    <row r="60" spans="1:6" ht="18" customHeight="1" x14ac:dyDescent="0.25"/>
  </sheetData>
  <mergeCells count="14">
    <mergeCell ref="N45:N46"/>
    <mergeCell ref="N47:N48"/>
    <mergeCell ref="M47:M48"/>
    <mergeCell ref="H45:H46"/>
    <mergeCell ref="I45:I46"/>
    <mergeCell ref="J45:J46"/>
    <mergeCell ref="K45:K46"/>
    <mergeCell ref="L45:L46"/>
    <mergeCell ref="M45:M46"/>
    <mergeCell ref="H47:H48"/>
    <mergeCell ref="I47:I48"/>
    <mergeCell ref="J47:J48"/>
    <mergeCell ref="K47:K48"/>
    <mergeCell ref="L47:L48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N52"/>
  <sheetViews>
    <sheetView topLeftCell="A25" zoomScale="90" zoomScaleNormal="90" workbookViewId="0">
      <selection activeCell="H52" sqref="H52"/>
    </sheetView>
  </sheetViews>
  <sheetFormatPr baseColWidth="10" defaultRowHeight="12.5" x14ac:dyDescent="0.25"/>
  <cols>
    <col min="1" max="1" width="42" customWidth="1"/>
    <col min="8" max="8" width="41.26953125" bestFit="1" customWidth="1"/>
    <col min="9" max="9" width="16" customWidth="1"/>
    <col min="10" max="14" width="9.26953125" customWidth="1"/>
  </cols>
  <sheetData>
    <row r="1" spans="1:9" ht="13.5" thickBot="1" x14ac:dyDescent="0.35">
      <c r="A1" s="17" t="s">
        <v>2</v>
      </c>
      <c r="B1" s="17">
        <f>'%charges ok'!B1</f>
        <v>2021</v>
      </c>
      <c r="C1" s="17">
        <f>'%charges ok'!C1</f>
        <v>2022</v>
      </c>
      <c r="D1" s="178" t="s">
        <v>27</v>
      </c>
      <c r="E1" s="17" t="s">
        <v>58</v>
      </c>
      <c r="F1" s="17" t="s">
        <v>59</v>
      </c>
      <c r="I1">
        <f>1+(20/100)</f>
        <v>1.2</v>
      </c>
    </row>
    <row r="2" spans="1:9" x14ac:dyDescent="0.25">
      <c r="A2" s="266" t="s">
        <v>24</v>
      </c>
      <c r="B2" s="267">
        <f>'COMPTES NSA (Chiffres Utiles)ok'!Q26</f>
        <v>4749.6925377699999</v>
      </c>
      <c r="C2" s="267">
        <f>'COMPTES NSA (Chiffres Utiles)ok'!R26</f>
        <v>4868.3526247</v>
      </c>
      <c r="D2" s="268">
        <f t="shared" ref="D2:D9" si="0">C2/$C$10</f>
        <v>0.28904139709780541</v>
      </c>
      <c r="E2" s="378">
        <f t="shared" ref="E2" si="1">C2/B2-1</f>
        <v>2.4982688034310474E-2</v>
      </c>
      <c r="F2" s="379">
        <f t="shared" ref="F2:F10" si="2">(B2/$B$10)*E2*100</f>
        <v>0.71142380790730786</v>
      </c>
    </row>
    <row r="3" spans="1:9" x14ac:dyDescent="0.25">
      <c r="A3" s="261" t="s">
        <v>158</v>
      </c>
      <c r="B3" s="262">
        <f>SUM('NSA1 ok'!B40:B44)</f>
        <v>4505.69528833</v>
      </c>
      <c r="C3" s="262">
        <f>'NSA1 ok'!C40+'NSA1 ok'!C42</f>
        <v>4649.5432734799997</v>
      </c>
      <c r="D3" s="263">
        <f t="shared" si="0"/>
        <v>0.2760503577359863</v>
      </c>
      <c r="E3" s="380">
        <f>C3/B3-1</f>
        <v>3.1925812986637991E-2</v>
      </c>
      <c r="F3" s="381">
        <f t="shared" si="2"/>
        <v>0.86243726937076037</v>
      </c>
    </row>
    <row r="4" spans="1:9" x14ac:dyDescent="0.25">
      <c r="A4" s="266" t="s">
        <v>23</v>
      </c>
      <c r="B4" s="267">
        <f>'NSA1 ok'!B28</f>
        <v>2672</v>
      </c>
      <c r="C4" s="267">
        <f>'NSA1 ok'!C28</f>
        <v>2644</v>
      </c>
      <c r="D4" s="268">
        <f t="shared" si="0"/>
        <v>0.15697824558747756</v>
      </c>
      <c r="E4" s="382">
        <f>C4/B4-1</f>
        <v>-1.0479041916167664E-2</v>
      </c>
      <c r="F4" s="383">
        <f t="shared" si="2"/>
        <v>-0.16787335267296491</v>
      </c>
    </row>
    <row r="5" spans="1:9" x14ac:dyDescent="0.25">
      <c r="A5" s="266" t="s">
        <v>22</v>
      </c>
      <c r="B5" s="267">
        <f>'NSA1 ok'!B11</f>
        <v>2493.1590089699998</v>
      </c>
      <c r="C5" s="267">
        <f>'NSA1 ok'!C11</f>
        <v>2546.7103734900002</v>
      </c>
      <c r="D5" s="268">
        <f t="shared" si="0"/>
        <v>0.15120201454231844</v>
      </c>
      <c r="E5" s="382">
        <f t="shared" ref="E5:E10" si="3">C5/B5-1</f>
        <v>2.1479321746960656E-2</v>
      </c>
      <c r="F5" s="383">
        <f t="shared" si="2"/>
        <v>0.32106596793516046</v>
      </c>
    </row>
    <row r="6" spans="1:9" x14ac:dyDescent="0.25">
      <c r="A6" s="146" t="s">
        <v>129</v>
      </c>
      <c r="B6" s="147">
        <f>B10-(B2+B4+B5+B7+B8+B3+B9)</f>
        <v>1696.6657323799973</v>
      </c>
      <c r="C6" s="147">
        <f>C10-(C2+C4+C5+C7+C8+C3+C9)</f>
        <v>1620.1924080099998</v>
      </c>
      <c r="D6" s="143">
        <f t="shared" si="0"/>
        <v>9.6193253299379874E-2</v>
      </c>
      <c r="E6" s="384">
        <f>C6/B6-1</f>
        <v>-4.507271108889821E-2</v>
      </c>
      <c r="F6" s="385">
        <f t="shared" si="2"/>
        <v>-0.45849404828709406</v>
      </c>
    </row>
    <row r="7" spans="1:9" x14ac:dyDescent="0.25">
      <c r="A7" s="260" t="s">
        <v>123</v>
      </c>
      <c r="B7" s="147">
        <f>SUM('NSA1 ok'!B30:B39)</f>
        <v>48.770754470000007</v>
      </c>
      <c r="C7" s="147">
        <f>'NSA1 ok'!C30+'NSA1 ok'!C33</f>
        <v>41.167499419999999</v>
      </c>
      <c r="D7" s="143">
        <f t="shared" si="0"/>
        <v>2.4441761853914901E-3</v>
      </c>
      <c r="E7" s="384">
        <f>C7/B7-1</f>
        <v>-0.15589783534468271</v>
      </c>
      <c r="F7" s="385">
        <f t="shared" si="2"/>
        <v>-4.5585139873969754E-2</v>
      </c>
    </row>
    <row r="8" spans="1:9" x14ac:dyDescent="0.25">
      <c r="A8" s="310" t="s">
        <v>164</v>
      </c>
      <c r="B8" s="267">
        <f>'COMPTES NSA (Chiffres Utiles)ok'!Q19</f>
        <v>423.79147576000003</v>
      </c>
      <c r="C8" s="267">
        <f>'COMPTES NSA (Chiffres Utiles)ok'!R20</f>
        <v>438.55704474999999</v>
      </c>
      <c r="D8" s="268">
        <f>C8/$C$10</f>
        <v>2.6037789513950031E-2</v>
      </c>
      <c r="E8" s="382">
        <f t="shared" si="3"/>
        <v>3.4841590344686368E-2</v>
      </c>
      <c r="F8" s="383">
        <f t="shared" si="2"/>
        <v>8.8526627516973752E-2</v>
      </c>
      <c r="G8" s="146"/>
    </row>
    <row r="9" spans="1:9" ht="13" thickBot="1" x14ac:dyDescent="0.3">
      <c r="A9" s="146" t="s">
        <v>132</v>
      </c>
      <c r="B9" s="147">
        <f>'COMPTES NSA (Chiffres Utiles)ok'!Q12</f>
        <v>89.465566660000007</v>
      </c>
      <c r="C9" s="147">
        <f>'COMPTES NSA (Chiffres Utiles)ok'!R12</f>
        <v>34.574939880000002</v>
      </c>
      <c r="D9" s="143">
        <f t="shared" si="0"/>
        <v>2.0527660376909651E-3</v>
      </c>
      <c r="E9" s="386">
        <f t="shared" si="3"/>
        <v>-0.6135391394613674</v>
      </c>
      <c r="F9" s="387">
        <f t="shared" si="2"/>
        <v>-0.32909548385282261</v>
      </c>
      <c r="G9" s="146"/>
    </row>
    <row r="10" spans="1:9" ht="13" x14ac:dyDescent="0.3">
      <c r="A10" s="179" t="s">
        <v>28</v>
      </c>
      <c r="B10" s="182">
        <f>'NSA1 ok'!B10</f>
        <v>16679.240364339996</v>
      </c>
      <c r="C10" s="182">
        <f>'NSA1 ok'!C10</f>
        <v>16843.098163729999</v>
      </c>
      <c r="D10" s="183"/>
      <c r="E10" s="213">
        <f t="shared" si="3"/>
        <v>9.8240564804334962E-3</v>
      </c>
      <c r="F10" s="177">
        <f t="shared" si="2"/>
        <v>0.98240564804334962</v>
      </c>
      <c r="G10" s="146"/>
    </row>
    <row r="11" spans="1:9" ht="13" x14ac:dyDescent="0.3">
      <c r="A11" s="146"/>
      <c r="B11" s="303">
        <f>'COMPTES NSA (Chiffres Utiles)ok'!Q75</f>
        <v>16679.240364339996</v>
      </c>
      <c r="C11" s="303">
        <f>'COMPTES NSA (Chiffres Utiles)ok'!R75</f>
        <v>16843.098163729999</v>
      </c>
      <c r="D11" s="183"/>
      <c r="E11" s="213">
        <f t="shared" ref="E11" si="4">C11/B11-1</f>
        <v>9.8240564804334962E-3</v>
      </c>
      <c r="F11" s="177">
        <f t="shared" ref="F11" si="5">(B11/$B$10)*E11*100</f>
        <v>0.98240564804334962</v>
      </c>
    </row>
    <row r="12" spans="1:9" ht="13" x14ac:dyDescent="0.3">
      <c r="B12" s="29"/>
      <c r="C12" s="29"/>
      <c r="D12" s="183"/>
      <c r="E12" s="213"/>
      <c r="F12" s="177" t="s">
        <v>176</v>
      </c>
    </row>
    <row r="14" spans="1:9" ht="13" x14ac:dyDescent="0.3">
      <c r="H14" s="413" t="s">
        <v>2</v>
      </c>
      <c r="I14" s="17" t="s">
        <v>59</v>
      </c>
    </row>
    <row r="15" spans="1:9" x14ac:dyDescent="0.25">
      <c r="H15" s="415" t="s">
        <v>194</v>
      </c>
      <c r="I15" s="278">
        <f>F2</f>
        <v>0.71142380790730786</v>
      </c>
    </row>
    <row r="16" spans="1:9" x14ac:dyDescent="0.25">
      <c r="H16" s="415" t="s">
        <v>195</v>
      </c>
      <c r="I16" s="278">
        <f t="shared" ref="I16:I22" si="6">F3</f>
        <v>0.86243726937076037</v>
      </c>
    </row>
    <row r="17" spans="8:9" x14ac:dyDescent="0.25">
      <c r="H17" s="415" t="s">
        <v>196</v>
      </c>
      <c r="I17" s="278">
        <f t="shared" si="6"/>
        <v>-0.16787335267296491</v>
      </c>
    </row>
    <row r="18" spans="8:9" x14ac:dyDescent="0.25">
      <c r="H18" s="415" t="s">
        <v>197</v>
      </c>
      <c r="I18" s="278">
        <f t="shared" si="6"/>
        <v>0.32106596793516046</v>
      </c>
    </row>
    <row r="19" spans="8:9" x14ac:dyDescent="0.25">
      <c r="H19" s="415" t="s">
        <v>198</v>
      </c>
      <c r="I19" s="278">
        <f t="shared" si="6"/>
        <v>-0.45849404828709406</v>
      </c>
    </row>
    <row r="20" spans="8:9" x14ac:dyDescent="0.25">
      <c r="H20" s="415" t="s">
        <v>199</v>
      </c>
      <c r="I20" s="278">
        <f t="shared" si="6"/>
        <v>-4.5585139873969754E-2</v>
      </c>
    </row>
    <row r="21" spans="8:9" x14ac:dyDescent="0.25">
      <c r="H21" s="415" t="s">
        <v>200</v>
      </c>
      <c r="I21" s="278">
        <f t="shared" si="6"/>
        <v>8.8526627516973752E-2</v>
      </c>
    </row>
    <row r="22" spans="8:9" x14ac:dyDescent="0.25">
      <c r="H22" s="415" t="s">
        <v>201</v>
      </c>
      <c r="I22" s="311">
        <f t="shared" si="6"/>
        <v>-0.32909548385282261</v>
      </c>
    </row>
    <row r="23" spans="8:9" ht="13" x14ac:dyDescent="0.3">
      <c r="H23" s="417" t="s">
        <v>28</v>
      </c>
      <c r="I23" s="280">
        <f>SUM(I15:I22)</f>
        <v>0.98240564804335118</v>
      </c>
    </row>
    <row r="34" spans="1:14" x14ac:dyDescent="0.25">
      <c r="J34" s="29">
        <f>C10</f>
        <v>16843.098163729999</v>
      </c>
      <c r="K34" s="29">
        <f>J34-J35</f>
        <v>0</v>
      </c>
    </row>
    <row r="35" spans="1:14" x14ac:dyDescent="0.25">
      <c r="J35" s="29">
        <f>C46</f>
        <v>16843.098163729999</v>
      </c>
    </row>
    <row r="40" spans="1:14" ht="13" x14ac:dyDescent="0.3">
      <c r="A40" s="17" t="s">
        <v>139</v>
      </c>
      <c r="B40" s="17">
        <f>B1</f>
        <v>2021</v>
      </c>
      <c r="C40" s="17">
        <f>C1</f>
        <v>2022</v>
      </c>
      <c r="D40" s="178" t="s">
        <v>27</v>
      </c>
      <c r="E40" s="17" t="s">
        <v>58</v>
      </c>
      <c r="F40" s="17" t="s">
        <v>59</v>
      </c>
    </row>
    <row r="41" spans="1:14" x14ac:dyDescent="0.25">
      <c r="A41" s="271" t="s">
        <v>161</v>
      </c>
      <c r="B41" s="206">
        <f>'COMPTES NSA (Chiffres Utiles)ok'!Q6+'COMPTES NSA (Chiffres Utiles)ok'!Q13+'COMPTES NSA (Chiffres Utiles)ok'!Q20+'COMPTES NSA (Chiffres Utiles)ok'!Q27+'COMPTES NSA (Chiffres Utiles)ok'!Q34+'COMPTES NSA (Chiffres Utiles)ok'!Q41+'COMPTES NSA (Chiffres Utiles)ok'!Q48+'COMPTES NSA (Chiffres Utiles)ok'!Q55+'COMPTES NSA (Chiffres Utiles)ok'!Q62+'COMPTES NSA (Chiffres Utiles)ok'!Q69</f>
        <v>7204.82320239</v>
      </c>
      <c r="C41" s="206">
        <f>'COMPTES NSA (Chiffres Utiles)ok'!R6+'COMPTES NSA (Chiffres Utiles)ok'!R13+'COMPTES NSA (Chiffres Utiles)ok'!R20+'COMPTES NSA (Chiffres Utiles)ok'!R27+'COMPTES NSA (Chiffres Utiles)ok'!R34+'COMPTES NSA (Chiffres Utiles)ok'!R41+'COMPTES NSA (Chiffres Utiles)ok'!R48+'COMPTES NSA (Chiffres Utiles)ok'!R55+'COMPTES NSA (Chiffres Utiles)ok'!R62+'COMPTES NSA (Chiffres Utiles)ok'!R69</f>
        <v>7293.3621882399993</v>
      </c>
      <c r="D41" s="207">
        <f>C41/$C$46</f>
        <v>0.43301785202116538</v>
      </c>
      <c r="E41" s="207">
        <f t="shared" ref="E41:E46" si="7">C41/B41-1</f>
        <v>1.22888492004396E-2</v>
      </c>
      <c r="F41" s="277">
        <f>(B41/$B$46)*E41*100</f>
        <v>0.53083344274655475</v>
      </c>
    </row>
    <row r="42" spans="1:14" x14ac:dyDescent="0.25">
      <c r="A42" s="146" t="s">
        <v>160</v>
      </c>
      <c r="B42" s="147">
        <f>'COMPTES NSA (Chiffres Utiles)ok'!Q8+'COMPTES NSA (Chiffres Utiles)ok'!Q15+'COMPTES NSA (Chiffres Utiles)ok'!Q22+'COMPTES NSA (Chiffres Utiles)ok'!Q29+'COMPTES NSA (Chiffres Utiles)ok'!Q43+'COMPTES NSA (Chiffres Utiles)ok'!Q50+'COMPTES NSA (Chiffres Utiles)ok'!Q57+'COMPTES NSA (Chiffres Utiles)ok'!Q64+'COMPTES NSA (Chiffres Utiles)ok'!Q71+'COMPTES NSA (Chiffres Utiles)ok'!Q36</f>
        <v>456.17965657000002</v>
      </c>
      <c r="C42" s="147">
        <f>'COMPTES NSA (Chiffres Utiles)ok'!R8+'COMPTES NSA (Chiffres Utiles)ok'!R15+'COMPTES NSA (Chiffres Utiles)ok'!R22+'COMPTES NSA (Chiffres Utiles)ok'!R29+'COMPTES NSA (Chiffres Utiles)ok'!R36+'COMPTES NSA (Chiffres Utiles)ok'!R43+'COMPTES NSA (Chiffres Utiles)ok'!R50+'COMPTES NSA (Chiffres Utiles)ok'!R57+'COMPTES NSA (Chiffres Utiles)ok'!R64+'COMPTES NSA (Chiffres Utiles)ok'!R71</f>
        <v>437.72692805999998</v>
      </c>
      <c r="D42" s="143">
        <f t="shared" ref="D42:D46" si="8">C42/$C$46</f>
        <v>2.5988504241019211E-2</v>
      </c>
      <c r="E42" s="143">
        <f t="shared" si="7"/>
        <v>-4.0450573023675607E-2</v>
      </c>
      <c r="F42" s="278">
        <f t="shared" ref="F42:F46" si="9">(B42/$B$46)*E42*100</f>
        <v>-0.11063290717634683</v>
      </c>
    </row>
    <row r="43" spans="1:14" x14ac:dyDescent="0.25">
      <c r="A43" t="s">
        <v>66</v>
      </c>
      <c r="B43" s="29">
        <f>'COMPTES NSA (Chiffres Utiles)ok'!Q7+'COMPTES NSA (Chiffres Utiles)ok'!Q14+'COMPTES NSA (Chiffres Utiles)ok'!Q21+'COMPTES NSA (Chiffres Utiles)ok'!Q28+'COMPTES NSA (Chiffres Utiles)ok'!Q42+'COMPTES NSA (Chiffres Utiles)ok'!Q49+'COMPTES NSA (Chiffres Utiles)ok'!Q56+'COMPTES NSA (Chiffres Utiles)ok'!Q63+'COMPTES NSA (Chiffres Utiles)ok'!Q70+'COMPTES NSA (Chiffres Utiles)ok'!Q35</f>
        <v>550.84491793999996</v>
      </c>
      <c r="C43" s="29">
        <f>'COMPTES NSA (Chiffres Utiles)ok'!R7+'COMPTES NSA (Chiffres Utiles)ok'!R14+'COMPTES NSA (Chiffres Utiles)ok'!R21+'COMPTES NSA (Chiffres Utiles)ok'!R28+'COMPTES NSA (Chiffres Utiles)ok'!R42+'COMPTES NSA (Chiffres Utiles)ok'!R49+'COMPTES NSA (Chiffres Utiles)ok'!R56+'COMPTES NSA (Chiffres Utiles)ok'!R63+'COMPTES NSA (Chiffres Utiles)ok'!R70+'COMPTES NSA (Chiffres Utiles)ok'!R35</f>
        <v>660.46352081999999</v>
      </c>
      <c r="D43" s="143">
        <f t="shared" si="8"/>
        <v>3.9212709823317718E-2</v>
      </c>
      <c r="E43" s="175">
        <f t="shared" si="7"/>
        <v>0.19900084272346885</v>
      </c>
      <c r="F43" s="278">
        <f t="shared" si="9"/>
        <v>0.65721579931399754</v>
      </c>
    </row>
    <row r="44" spans="1:14" x14ac:dyDescent="0.25">
      <c r="A44" s="205" t="s">
        <v>67</v>
      </c>
      <c r="B44" s="206">
        <f>'COMPTES NSA (Chiffres Utiles)ok'!Q10+'COMPTES NSA (Chiffres Utiles)ok'!Q17+'COMPTES NSA (Chiffres Utiles)ok'!Q24+'COMPTES NSA (Chiffres Utiles)ok'!Q31+'COMPTES NSA (Chiffres Utiles)ok'!Q45+'COMPTES NSA (Chiffres Utiles)ok'!Q52+'COMPTES NSA (Chiffres Utiles)ok'!Q59+'COMPTES NSA (Chiffres Utiles)ok'!Q66+'COMPTES NSA (Chiffres Utiles)ok'!Q73</f>
        <v>7560.6477771599994</v>
      </c>
      <c r="C44" s="206">
        <f>'COMPTES NSA (Chiffres Utiles)ok'!R10+'COMPTES NSA (Chiffres Utiles)ok'!R17+'COMPTES NSA (Chiffres Utiles)ok'!R24+'COMPTES NSA (Chiffres Utiles)ok'!R31+'COMPTES NSA (Chiffres Utiles)ok'!R45+'COMPTES NSA (Chiffres Utiles)ok'!R52+'COMPTES NSA (Chiffres Utiles)ok'!R59+'COMPTES NSA (Chiffres Utiles)ok'!R66+'COMPTES NSA (Chiffres Utiles)ok'!R73</f>
        <v>7204.5720267200004</v>
      </c>
      <c r="D44" s="207">
        <f t="shared" si="8"/>
        <v>0.42774624696033398</v>
      </c>
      <c r="E44" s="207">
        <f t="shared" si="7"/>
        <v>-4.7095931583490791E-2</v>
      </c>
      <c r="F44" s="277">
        <f t="shared" si="9"/>
        <v>-2.1348439297108781</v>
      </c>
    </row>
    <row r="45" spans="1:14" x14ac:dyDescent="0.25">
      <c r="A45" t="s">
        <v>40</v>
      </c>
      <c r="B45" s="29">
        <f>'COMPTES NSA (Chiffres Utiles)ok'!Q9+'COMPTES NSA (Chiffres Utiles)ok'!Q16+'COMPTES NSA (Chiffres Utiles)ok'!Q23+'COMPTES NSA (Chiffres Utiles)ok'!Q30+'COMPTES NSA (Chiffres Utiles)ok'!Q44+'COMPTES NSA (Chiffres Utiles)ok'!Q51+'COMPTES NSA (Chiffres Utiles)ok'!Q58+'COMPTES NSA (Chiffres Utiles)ok'!Q65+'COMPTES NSA (Chiffres Utiles)ok'!Q72</f>
        <v>906.74481027999991</v>
      </c>
      <c r="C45" s="29">
        <f>'COMPTES NSA (Chiffres Utiles)ok'!R9+'COMPTES NSA (Chiffres Utiles)ok'!R16+'COMPTES NSA (Chiffres Utiles)ok'!R23+'COMPTES NSA (Chiffres Utiles)ok'!R30+'COMPTES NSA (Chiffres Utiles)ok'!R44+'COMPTES NSA (Chiffres Utiles)ok'!R51+'COMPTES NSA (Chiffres Utiles)ok'!R58+'COMPTES NSA (Chiffres Utiles)ok'!R65+'COMPTES NSA (Chiffres Utiles)ok'!R72</f>
        <v>1246.9734998900001</v>
      </c>
      <c r="D45" s="143">
        <f t="shared" si="8"/>
        <v>7.4034686954163709E-2</v>
      </c>
      <c r="E45" s="175">
        <f t="shared" si="7"/>
        <v>0.37521989180719828</v>
      </c>
      <c r="F45" s="278">
        <f t="shared" si="9"/>
        <v>2.0398332428700088</v>
      </c>
    </row>
    <row r="46" spans="1:14" ht="13" x14ac:dyDescent="0.3">
      <c r="A46" s="17" t="s">
        <v>162</v>
      </c>
      <c r="B46" s="30">
        <f>SUM(B41:B45)</f>
        <v>16679.240364339999</v>
      </c>
      <c r="C46" s="30">
        <f>SUM(C41:C45)</f>
        <v>16843.098163729999</v>
      </c>
      <c r="D46" s="183">
        <f t="shared" si="8"/>
        <v>1</v>
      </c>
      <c r="E46" s="176">
        <f t="shared" si="7"/>
        <v>9.8240564804332742E-3</v>
      </c>
      <c r="F46" s="309">
        <f t="shared" si="9"/>
        <v>0.98240564804332742</v>
      </c>
    </row>
    <row r="47" spans="1:14" x14ac:dyDescent="0.25">
      <c r="C47" s="29"/>
    </row>
    <row r="48" spans="1:14" x14ac:dyDescent="0.25">
      <c r="I48" s="282"/>
      <c r="J48" s="281" t="s">
        <v>140</v>
      </c>
      <c r="K48" s="281" t="s">
        <v>65</v>
      </c>
      <c r="L48" s="281" t="s">
        <v>66</v>
      </c>
      <c r="M48" s="281" t="s">
        <v>67</v>
      </c>
      <c r="N48" s="281" t="s">
        <v>40</v>
      </c>
    </row>
    <row r="49" spans="9:14" x14ac:dyDescent="0.25">
      <c r="I49" s="468" t="s">
        <v>185</v>
      </c>
      <c r="J49" s="469">
        <f>E41</f>
        <v>1.22888492004396E-2</v>
      </c>
      <c r="K49" s="469">
        <f>E42</f>
        <v>-4.0450573023675607E-2</v>
      </c>
      <c r="L49" s="469">
        <f>E43</f>
        <v>0.19900084272346885</v>
      </c>
      <c r="M49" s="469">
        <f>E44</f>
        <v>-4.7095931583490791E-2</v>
      </c>
      <c r="N49" s="469">
        <f>E45</f>
        <v>0.37521989180719828</v>
      </c>
    </row>
    <row r="50" spans="9:14" x14ac:dyDescent="0.25">
      <c r="I50" s="468"/>
      <c r="J50" s="469"/>
      <c r="K50" s="469"/>
      <c r="L50" s="469"/>
      <c r="M50" s="469"/>
      <c r="N50" s="469"/>
    </row>
    <row r="51" spans="9:14" x14ac:dyDescent="0.25">
      <c r="I51" s="468" t="s">
        <v>186</v>
      </c>
      <c r="J51" s="467">
        <f>F41</f>
        <v>0.53083344274655475</v>
      </c>
      <c r="K51" s="467">
        <f>F42</f>
        <v>-0.11063290717634683</v>
      </c>
      <c r="L51" s="467">
        <f>F43</f>
        <v>0.65721579931399754</v>
      </c>
      <c r="M51" s="467">
        <f>F44</f>
        <v>-2.1348439297108781</v>
      </c>
      <c r="N51" s="467">
        <f>F45</f>
        <v>2.0398332428700088</v>
      </c>
    </row>
    <row r="52" spans="9:14" x14ac:dyDescent="0.25">
      <c r="I52" s="468"/>
      <c r="J52" s="467"/>
      <c r="K52" s="467"/>
      <c r="L52" s="467"/>
      <c r="M52" s="467"/>
      <c r="N52" s="467"/>
    </row>
  </sheetData>
  <mergeCells count="12">
    <mergeCell ref="N51:N52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N42"/>
  <sheetViews>
    <sheetView zoomScale="70" zoomScaleNormal="70" workbookViewId="0"/>
  </sheetViews>
  <sheetFormatPr baseColWidth="10" defaultRowHeight="12.5" x14ac:dyDescent="0.25"/>
  <cols>
    <col min="1" max="1" width="36.26953125" bestFit="1" customWidth="1"/>
    <col min="2" max="2" width="9.453125" customWidth="1"/>
    <col min="3" max="3" width="9" customWidth="1"/>
    <col min="4" max="4" width="8" customWidth="1"/>
    <col min="5" max="5" width="8.453125" bestFit="1" customWidth="1"/>
    <col min="6" max="6" width="12.1796875" bestFit="1" customWidth="1"/>
    <col min="9" max="9" width="16" customWidth="1"/>
    <col min="10" max="14" width="9.26953125" customWidth="1"/>
  </cols>
  <sheetData>
    <row r="1" spans="1:7" ht="13" x14ac:dyDescent="0.3">
      <c r="A1" s="17" t="s">
        <v>2</v>
      </c>
      <c r="B1" s="17">
        <f>'%charges ok'!B1</f>
        <v>2021</v>
      </c>
      <c r="C1" s="17">
        <f>'%charges ok'!C1</f>
        <v>2022</v>
      </c>
      <c r="D1" s="178" t="s">
        <v>27</v>
      </c>
      <c r="E1" s="17" t="s">
        <v>58</v>
      </c>
      <c r="F1" s="17" t="s">
        <v>59</v>
      </c>
    </row>
    <row r="2" spans="1:7" x14ac:dyDescent="0.25">
      <c r="A2" s="266" t="s">
        <v>24</v>
      </c>
      <c r="B2" s="267">
        <f>'COMPTES NSA (Chiffres Utiles)ok'!Q31</f>
        <v>2908.6659185499998</v>
      </c>
      <c r="C2" s="267">
        <f>'COMPTES NSA (Chiffres Utiles)ok'!R31</f>
        <v>2638.879426</v>
      </c>
      <c r="D2" s="268">
        <f t="shared" ref="D2:D9" si="0">C2/$C$10</f>
        <v>0.36627844321814534</v>
      </c>
      <c r="E2" s="269">
        <f t="shared" ref="E2" si="1">C2/B2-1</f>
        <v>-9.2752657095969027E-2</v>
      </c>
      <c r="F2" s="270">
        <f t="shared" ref="F2:F10" si="2">(B2/$B$10)*E2*100</f>
        <v>-3.5682986498193894</v>
      </c>
    </row>
    <row r="3" spans="1:7" x14ac:dyDescent="0.25">
      <c r="A3" s="261" t="s">
        <v>130</v>
      </c>
      <c r="B3" s="262">
        <v>0</v>
      </c>
      <c r="C3" s="262">
        <v>0</v>
      </c>
      <c r="D3" s="263">
        <f t="shared" si="0"/>
        <v>0</v>
      </c>
      <c r="E3" s="264" t="e">
        <f>C3/B3-1</f>
        <v>#DIV/0!</v>
      </c>
      <c r="F3" s="265" t="e">
        <f t="shared" si="2"/>
        <v>#DIV/0!</v>
      </c>
    </row>
    <row r="4" spans="1:7" x14ac:dyDescent="0.25">
      <c r="A4" s="266" t="s">
        <v>23</v>
      </c>
      <c r="B4" s="267">
        <f>'NSA1 ok'!B19</f>
        <v>2672</v>
      </c>
      <c r="C4" s="267">
        <f>'NSA1 ok'!C19</f>
        <v>2644</v>
      </c>
      <c r="D4" s="268">
        <f t="shared" si="0"/>
        <v>0.36698918272925152</v>
      </c>
      <c r="E4" s="269">
        <f>C4/B4-1</f>
        <v>-1.0479041916167664E-2</v>
      </c>
      <c r="F4" s="270">
        <f t="shared" si="2"/>
        <v>-0.37033863797471622</v>
      </c>
    </row>
    <row r="5" spans="1:7" x14ac:dyDescent="0.25">
      <c r="A5" s="266" t="s">
        <v>22</v>
      </c>
      <c r="B5" s="267">
        <f>'COMPTES NSA (Chiffres Utiles)ok'!Q10</f>
        <v>1220.1272068999999</v>
      </c>
      <c r="C5" s="267">
        <f>'COMPTES NSA (Chiffres Utiles)ok'!R10</f>
        <v>1258.6198170999999</v>
      </c>
      <c r="D5" s="268">
        <f t="shared" si="0"/>
        <v>0.17469737444945876</v>
      </c>
      <c r="E5" s="269">
        <f t="shared" ref="E5:E10" si="3">C5/B5-1</f>
        <v>3.154803038758458E-2</v>
      </c>
      <c r="F5" s="270">
        <f t="shared" si="2"/>
        <v>0.50911788691284399</v>
      </c>
    </row>
    <row r="6" spans="1:7" x14ac:dyDescent="0.25">
      <c r="A6" s="146" t="s">
        <v>129</v>
      </c>
      <c r="B6" s="147">
        <f>B10-(B2+B4+B5+B7+B8+B3+B9)</f>
        <v>672.29651040000044</v>
      </c>
      <c r="C6" s="147">
        <f>C10-(C2+C4+C5+C7+C8+C3+C9)</f>
        <v>617.40857007000159</v>
      </c>
      <c r="D6" s="143">
        <f t="shared" si="0"/>
        <v>8.5696772518920453E-2</v>
      </c>
      <c r="E6" s="212">
        <f>C6/B6-1</f>
        <v>-8.1642459065185191E-2</v>
      </c>
      <c r="F6" s="191">
        <f t="shared" si="2"/>
        <v>-0.72596875225176016</v>
      </c>
    </row>
    <row r="7" spans="1:7" x14ac:dyDescent="0.25">
      <c r="A7" s="260" t="s">
        <v>123</v>
      </c>
      <c r="B7" s="147">
        <f>'NSA1 ok'!B33</f>
        <v>43.964913730000006</v>
      </c>
      <c r="C7" s="147">
        <f>'NSA1 ok'!C33</f>
        <v>31.4634958</v>
      </c>
      <c r="D7" s="143">
        <f t="shared" si="0"/>
        <v>4.3671568114399539E-3</v>
      </c>
      <c r="E7" s="212">
        <f>C7/B7-1</f>
        <v>-0.28434987969667069</v>
      </c>
      <c r="F7" s="191">
        <f t="shared" si="2"/>
        <v>-0.1653485031767464</v>
      </c>
    </row>
    <row r="8" spans="1:7" x14ac:dyDescent="0.25">
      <c r="A8" s="266" t="s">
        <v>64</v>
      </c>
      <c r="B8" s="267">
        <v>0</v>
      </c>
      <c r="C8" s="267">
        <v>0</v>
      </c>
      <c r="D8" s="268">
        <f t="shared" si="0"/>
        <v>0</v>
      </c>
      <c r="E8" s="269" t="e">
        <f t="shared" si="3"/>
        <v>#DIV/0!</v>
      </c>
      <c r="F8" s="270" t="e">
        <f t="shared" si="2"/>
        <v>#DIV/0!</v>
      </c>
      <c r="G8" s="146"/>
    </row>
    <row r="9" spans="1:7" x14ac:dyDescent="0.25">
      <c r="A9" s="146" t="s">
        <v>132</v>
      </c>
      <c r="B9" s="147">
        <f>'COMPTES NSA (Chiffres Utiles)ok'!Q17</f>
        <v>43.593227579999997</v>
      </c>
      <c r="C9" s="147">
        <f>'COMPTES NSA (Chiffres Utiles)ok'!R17</f>
        <v>14.200717750000001</v>
      </c>
      <c r="D9" s="143">
        <f t="shared" si="0"/>
        <v>1.9710702727841435E-3</v>
      </c>
      <c r="E9" s="212">
        <f t="shared" si="3"/>
        <v>-0.67424486466528344</v>
      </c>
      <c r="F9" s="191">
        <f t="shared" si="2"/>
        <v>-0.38875650203930923</v>
      </c>
      <c r="G9" s="146"/>
    </row>
    <row r="10" spans="1:7" ht="13" x14ac:dyDescent="0.3">
      <c r="A10" s="179" t="s">
        <v>28</v>
      </c>
      <c r="B10" s="182">
        <f>'COMPTES NSA (Chiffres Utiles)ok'!Q10+'COMPTES NSA (Chiffres Utiles)ok'!Q17+'COMPTES NSA (Chiffres Utiles)ok'!Q31+'COMPTES NSA (Chiffres Utiles)ok'!Q45+'COMPTES NSA (Chiffres Utiles)ok'!Q52+'COMPTES NSA (Chiffres Utiles)ok'!Q59+'COMPTES NSA (Chiffres Utiles)ok'!Q66+'COMPTES NSA (Chiffres Utiles)ok'!Q73</f>
        <v>7560.6477771599994</v>
      </c>
      <c r="C10" s="182">
        <f>'COMPTES NSA (Chiffres Utiles)ok'!R10+'COMPTES NSA (Chiffres Utiles)ok'!R17+'COMPTES NSA (Chiffres Utiles)ok'!R31+'COMPTES NSA (Chiffres Utiles)ok'!R45+'COMPTES NSA (Chiffres Utiles)ok'!R52+'COMPTES NSA (Chiffres Utiles)ok'!R59+'COMPTES NSA (Chiffres Utiles)ok'!R66+'COMPTES NSA (Chiffres Utiles)ok'!R73</f>
        <v>7204.5720267200004</v>
      </c>
      <c r="D10" s="183">
        <f>SUM(D2:D9)</f>
        <v>1.0000000000000002</v>
      </c>
      <c r="E10" s="213">
        <f t="shared" si="3"/>
        <v>-4.7095931583490791E-2</v>
      </c>
      <c r="F10" s="177">
        <f t="shared" si="2"/>
        <v>-4.7095931583490795</v>
      </c>
      <c r="G10" s="146"/>
    </row>
    <row r="11" spans="1:7" x14ac:dyDescent="0.25">
      <c r="A11" s="146"/>
      <c r="B11" s="303"/>
      <c r="C11" s="303"/>
      <c r="D11" s="146"/>
      <c r="E11" s="146"/>
      <c r="F11" s="146"/>
    </row>
    <row r="29" spans="9:14" x14ac:dyDescent="0.25">
      <c r="I29" s="282"/>
      <c r="J29" s="281" t="s">
        <v>140</v>
      </c>
      <c r="K29" s="281" t="s">
        <v>65</v>
      </c>
      <c r="L29" s="281" t="s">
        <v>66</v>
      </c>
      <c r="M29" s="281" t="s">
        <v>67</v>
      </c>
      <c r="N29" s="281" t="s">
        <v>40</v>
      </c>
    </row>
    <row r="30" spans="9:14" x14ac:dyDescent="0.25">
      <c r="I30" s="468" t="s">
        <v>185</v>
      </c>
      <c r="J30" s="469">
        <f>E37</f>
        <v>1.2288849200439822E-2</v>
      </c>
      <c r="K30" s="469">
        <f>E38</f>
        <v>-4.0450573023675607E-2</v>
      </c>
      <c r="L30" s="469">
        <f>E39</f>
        <v>0.19900084272346885</v>
      </c>
      <c r="M30" s="469">
        <f>E40</f>
        <v>-4.7095931583490791E-2</v>
      </c>
      <c r="N30" s="469">
        <f>E41</f>
        <v>0.37521989180719828</v>
      </c>
    </row>
    <row r="31" spans="9:14" x14ac:dyDescent="0.25">
      <c r="I31" s="468"/>
      <c r="J31" s="469"/>
      <c r="K31" s="469"/>
      <c r="L31" s="469"/>
      <c r="M31" s="469"/>
      <c r="N31" s="469"/>
    </row>
    <row r="32" spans="9:14" x14ac:dyDescent="0.25">
      <c r="I32" s="468" t="s">
        <v>202</v>
      </c>
      <c r="J32" s="467">
        <f>F37</f>
        <v>0.53083344274656441</v>
      </c>
      <c r="K32" s="467">
        <f>F38</f>
        <v>-0.11063290717634683</v>
      </c>
      <c r="L32" s="467">
        <f>F39</f>
        <v>0.65721579931399754</v>
      </c>
      <c r="M32" s="467">
        <f>F40</f>
        <v>-2.1348439297108781</v>
      </c>
      <c r="N32" s="467">
        <f>F41</f>
        <v>2.0398332428700088</v>
      </c>
    </row>
    <row r="33" spans="1:14" x14ac:dyDescent="0.25">
      <c r="I33" s="468"/>
      <c r="J33" s="467"/>
      <c r="K33" s="467"/>
      <c r="L33" s="467"/>
      <c r="M33" s="467"/>
      <c r="N33" s="467"/>
    </row>
    <row r="36" spans="1:14" ht="13" x14ac:dyDescent="0.3">
      <c r="A36" s="17" t="s">
        <v>139</v>
      </c>
      <c r="B36" s="17">
        <f>B1</f>
        <v>2021</v>
      </c>
      <c r="C36" s="17">
        <f>C1</f>
        <v>2022</v>
      </c>
      <c r="D36" s="178" t="s">
        <v>27</v>
      </c>
      <c r="E36" s="17" t="s">
        <v>58</v>
      </c>
      <c r="F36" s="17" t="s">
        <v>59</v>
      </c>
    </row>
    <row r="37" spans="1:14" x14ac:dyDescent="0.25">
      <c r="A37" s="271" t="s">
        <v>138</v>
      </c>
      <c r="B37" s="206">
        <f>'COMPTES NSA (Chiffres Utiles)ok'!Q6+'COMPTES NSA (Chiffres Utiles)ok'!Q13+'COMPTES NSA (Chiffres Utiles)ok'!Q20+'COMPTES NSA (Chiffres Utiles)ok'!Q27+'COMPTES NSA (Chiffres Utiles)ok'!Q41+'COMPTES NSA (Chiffres Utiles)ok'!Q48+'COMPTES NSA (Chiffres Utiles)ok'!Q55+'COMPTES NSA (Chiffres Utiles)ok'!Q62+'COMPTES NSA (Chiffres Utiles)ok'!Q69+'COMPTES NSA (Chiffres Utiles)ok'!Q34</f>
        <v>7204.82320239</v>
      </c>
      <c r="C37" s="206">
        <f>'COMPTES NSA (Chiffres Utiles)ok'!R6+'COMPTES NSA (Chiffres Utiles)ok'!R13+'COMPTES NSA (Chiffres Utiles)ok'!R20+'COMPTES NSA (Chiffres Utiles)ok'!R27+'COMPTES NSA (Chiffres Utiles)ok'!R41+'COMPTES NSA (Chiffres Utiles)ok'!R48+'COMPTES NSA (Chiffres Utiles)ok'!R55+'COMPTES NSA (Chiffres Utiles)ok'!R62+'COMPTES NSA (Chiffres Utiles)ok'!R69+'COMPTES NSA (Chiffres Utiles)ok'!R34</f>
        <v>7293.3621882400003</v>
      </c>
      <c r="D37" s="207">
        <f>C37/$C$42</f>
        <v>0.43301785202116544</v>
      </c>
      <c r="E37" s="207">
        <f t="shared" ref="E37:E42" si="4">C37/B37-1</f>
        <v>1.2288849200439822E-2</v>
      </c>
      <c r="F37" s="208">
        <f>(B37/$B$42)*E37*100</f>
        <v>0.53083344274656441</v>
      </c>
    </row>
    <row r="38" spans="1:14" x14ac:dyDescent="0.25">
      <c r="A38" s="146" t="s">
        <v>65</v>
      </c>
      <c r="B38" s="147">
        <f>'COMPTES NSA (Chiffres Utiles)ok'!Q8+'COMPTES NSA (Chiffres Utiles)ok'!Q15+'COMPTES NSA (Chiffres Utiles)ok'!Q22+'COMPTES NSA (Chiffres Utiles)ok'!Q29+'COMPTES NSA (Chiffres Utiles)ok'!Q43+'COMPTES NSA (Chiffres Utiles)ok'!Q50+'COMPTES NSA (Chiffres Utiles)ok'!Q57+'COMPTES NSA (Chiffres Utiles)ok'!Q64+'COMPTES NSA (Chiffres Utiles)ok'!Q71</f>
        <v>456.17965657000002</v>
      </c>
      <c r="C38" s="147">
        <f>'COMPTES NSA (Chiffres Utiles)ok'!R8+'COMPTES NSA (Chiffres Utiles)ok'!R15+'COMPTES NSA (Chiffres Utiles)ok'!R22+'COMPTES NSA (Chiffres Utiles)ok'!R29+'COMPTES NSA (Chiffres Utiles)ok'!R43+'COMPTES NSA (Chiffres Utiles)ok'!R50+'COMPTES NSA (Chiffres Utiles)ok'!R57+'COMPTES NSA (Chiffres Utiles)ok'!R64+'COMPTES NSA (Chiffres Utiles)ok'!R71</f>
        <v>437.72692805999998</v>
      </c>
      <c r="D38" s="143">
        <f t="shared" ref="D38:D42" si="5">C38/$C$42</f>
        <v>2.5988504241019211E-2</v>
      </c>
      <c r="E38" s="143">
        <f t="shared" si="4"/>
        <v>-4.0450573023675607E-2</v>
      </c>
      <c r="F38" s="191">
        <f t="shared" ref="F38:F42" si="6">(B38/$B$42)*E38*100</f>
        <v>-0.11063290717634683</v>
      </c>
    </row>
    <row r="39" spans="1:14" x14ac:dyDescent="0.25">
      <c r="A39" t="s">
        <v>66</v>
      </c>
      <c r="B39" s="29">
        <f>'COMPTES NSA (Chiffres Utiles)ok'!Q7+'COMPTES NSA (Chiffres Utiles)ok'!Q14+'COMPTES NSA (Chiffres Utiles)ok'!Q21+'COMPTES NSA (Chiffres Utiles)ok'!Q28+'COMPTES NSA (Chiffres Utiles)ok'!Q42+'COMPTES NSA (Chiffres Utiles)ok'!Q49+'COMPTES NSA (Chiffres Utiles)ok'!Q56+'COMPTES NSA (Chiffres Utiles)ok'!Q63+'COMPTES NSA (Chiffres Utiles)ok'!Q70+'COMPTES NSA (Chiffres Utiles)ok'!Q35</f>
        <v>550.84491793999996</v>
      </c>
      <c r="C39" s="29">
        <f>'COMPTES NSA (Chiffres Utiles)ok'!R7+'COMPTES NSA (Chiffres Utiles)ok'!R14+'COMPTES NSA (Chiffres Utiles)ok'!R21+'COMPTES NSA (Chiffres Utiles)ok'!R28+'COMPTES NSA (Chiffres Utiles)ok'!R42+'COMPTES NSA (Chiffres Utiles)ok'!R49+'COMPTES NSA (Chiffres Utiles)ok'!R56+'COMPTES NSA (Chiffres Utiles)ok'!R63+'COMPTES NSA (Chiffres Utiles)ok'!R70+'COMPTES NSA (Chiffres Utiles)ok'!R35</f>
        <v>660.46352081999999</v>
      </c>
      <c r="D39" s="143">
        <f t="shared" si="5"/>
        <v>3.9212709823317718E-2</v>
      </c>
      <c r="E39" s="175">
        <f t="shared" si="4"/>
        <v>0.19900084272346885</v>
      </c>
      <c r="F39" s="191">
        <f t="shared" si="6"/>
        <v>0.65721579931399754</v>
      </c>
    </row>
    <row r="40" spans="1:14" x14ac:dyDescent="0.25">
      <c r="A40" s="205" t="s">
        <v>67</v>
      </c>
      <c r="B40" s="206">
        <f>'COMPTES NSA (Chiffres Utiles)ok'!Q10+'COMPTES NSA (Chiffres Utiles)ok'!Q17+'COMPTES NSA (Chiffres Utiles)ok'!Q24+'COMPTES NSA (Chiffres Utiles)ok'!Q31+'COMPTES NSA (Chiffres Utiles)ok'!Q45+'COMPTES NSA (Chiffres Utiles)ok'!Q52+'COMPTES NSA (Chiffres Utiles)ok'!Q59+'COMPTES NSA (Chiffres Utiles)ok'!Q66+'COMPTES NSA (Chiffres Utiles)ok'!Q73</f>
        <v>7560.6477771599994</v>
      </c>
      <c r="C40" s="206">
        <f>'COMPTES NSA (Chiffres Utiles)ok'!R10+'COMPTES NSA (Chiffres Utiles)ok'!R17+'COMPTES NSA (Chiffres Utiles)ok'!R24+'COMPTES NSA (Chiffres Utiles)ok'!R31+'COMPTES NSA (Chiffres Utiles)ok'!R45+'COMPTES NSA (Chiffres Utiles)ok'!R52+'COMPTES NSA (Chiffres Utiles)ok'!R59+'COMPTES NSA (Chiffres Utiles)ok'!R66+'COMPTES NSA (Chiffres Utiles)ok'!R73</f>
        <v>7204.5720267200004</v>
      </c>
      <c r="D40" s="207">
        <f t="shared" si="5"/>
        <v>0.42774624696033398</v>
      </c>
      <c r="E40" s="207">
        <f t="shared" si="4"/>
        <v>-4.7095931583490791E-2</v>
      </c>
      <c r="F40" s="208">
        <f t="shared" si="6"/>
        <v>-2.1348439297108781</v>
      </c>
    </row>
    <row r="41" spans="1:14" x14ac:dyDescent="0.25">
      <c r="A41" t="s">
        <v>40</v>
      </c>
      <c r="B41" s="29">
        <f>'COMPTES NSA (Chiffres Utiles)ok'!Q9+'COMPTES NSA (Chiffres Utiles)ok'!Q16+'COMPTES NSA (Chiffres Utiles)ok'!Q23+'COMPTES NSA (Chiffres Utiles)ok'!Q30+'COMPTES NSA (Chiffres Utiles)ok'!Q44+'COMPTES NSA (Chiffres Utiles)ok'!Q51+'COMPTES NSA (Chiffres Utiles)ok'!Q58+'COMPTES NSA (Chiffres Utiles)ok'!Q65+'COMPTES NSA (Chiffres Utiles)ok'!Q72</f>
        <v>906.74481027999991</v>
      </c>
      <c r="C41" s="29">
        <f>'COMPTES NSA (Chiffres Utiles)ok'!R9+'COMPTES NSA (Chiffres Utiles)ok'!R16+'COMPTES NSA (Chiffres Utiles)ok'!R23+'COMPTES NSA (Chiffres Utiles)ok'!R30+'COMPTES NSA (Chiffres Utiles)ok'!R44+'COMPTES NSA (Chiffres Utiles)ok'!R51+'COMPTES NSA (Chiffres Utiles)ok'!R58+'COMPTES NSA (Chiffres Utiles)ok'!R65+'COMPTES NSA (Chiffres Utiles)ok'!R72</f>
        <v>1246.9734998900001</v>
      </c>
      <c r="D41" s="143">
        <f t="shared" si="5"/>
        <v>7.4034686954163709E-2</v>
      </c>
      <c r="E41" s="175">
        <f t="shared" si="4"/>
        <v>0.37521989180719828</v>
      </c>
      <c r="F41" s="191">
        <f t="shared" si="6"/>
        <v>2.0398332428700088</v>
      </c>
    </row>
    <row r="42" spans="1:14" ht="13" x14ac:dyDescent="0.3">
      <c r="A42" s="17" t="s">
        <v>25</v>
      </c>
      <c r="B42" s="30">
        <f>SUM(B37:B41)</f>
        <v>16679.240364339999</v>
      </c>
      <c r="C42" s="30">
        <f>SUM(C37:C41)</f>
        <v>16843.098163729999</v>
      </c>
      <c r="D42" s="183">
        <f t="shared" si="5"/>
        <v>1</v>
      </c>
      <c r="E42" s="176">
        <f t="shared" si="4"/>
        <v>9.8240564804332742E-3</v>
      </c>
      <c r="F42" s="272">
        <f t="shared" si="6"/>
        <v>0.98240564804332742</v>
      </c>
    </row>
  </sheetData>
  <mergeCells count="12">
    <mergeCell ref="N32:N3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N54"/>
  <sheetViews>
    <sheetView zoomScaleNormal="100" workbookViewId="0"/>
  </sheetViews>
  <sheetFormatPr baseColWidth="10" defaultRowHeight="12.5" x14ac:dyDescent="0.25"/>
  <cols>
    <col min="1" max="1" width="36.26953125" bestFit="1" customWidth="1"/>
    <col min="2" max="3" width="8.1796875" bestFit="1" customWidth="1"/>
    <col min="4" max="4" width="7" bestFit="1" customWidth="1"/>
    <col min="5" max="5" width="8.453125" bestFit="1" customWidth="1"/>
    <col min="6" max="6" width="12.1796875" bestFit="1" customWidth="1"/>
    <col min="9" max="9" width="16" customWidth="1"/>
    <col min="10" max="14" width="9.26953125" customWidth="1"/>
  </cols>
  <sheetData>
    <row r="1" spans="1:7" ht="13" x14ac:dyDescent="0.3">
      <c r="A1" s="17" t="s">
        <v>2</v>
      </c>
      <c r="B1" s="17">
        <f>'%charges ok'!B1</f>
        <v>2021</v>
      </c>
      <c r="C1" s="17">
        <f>'%charges ok'!C1</f>
        <v>2022</v>
      </c>
      <c r="D1" s="178" t="s">
        <v>27</v>
      </c>
      <c r="E1" s="17" t="s">
        <v>58</v>
      </c>
      <c r="F1" s="17" t="s">
        <v>59</v>
      </c>
    </row>
    <row r="2" spans="1:7" x14ac:dyDescent="0.25">
      <c r="A2" s="266" t="s">
        <v>24</v>
      </c>
      <c r="B2" s="267">
        <f>'COMPTES NSA (Chiffres Utiles)ok'!Q30</f>
        <v>313.56842792999998</v>
      </c>
      <c r="C2" s="267">
        <f>'COMPTES NSA (Chiffres Utiles)ok'!R30</f>
        <v>666.27188158000001</v>
      </c>
      <c r="D2" s="268">
        <f t="shared" ref="D2:D9" si="0">C2/$C$10</f>
        <v>0.53431117953891893</v>
      </c>
      <c r="E2" s="269">
        <f t="shared" ref="E2" si="1">C2/B2-1</f>
        <v>1.1248053765436374</v>
      </c>
      <c r="F2" s="270">
        <f t="shared" ref="F2:F10" si="2">(B2/$B$10)*E2*100</f>
        <v>38.897763698375776</v>
      </c>
    </row>
    <row r="3" spans="1:7" x14ac:dyDescent="0.25">
      <c r="A3" s="261" t="s">
        <v>130</v>
      </c>
      <c r="B3" s="262">
        <v>0</v>
      </c>
      <c r="C3" s="262">
        <v>0</v>
      </c>
      <c r="D3" s="263">
        <f t="shared" si="0"/>
        <v>0</v>
      </c>
      <c r="E3" s="264" t="e">
        <f>C3/B3-1</f>
        <v>#DIV/0!</v>
      </c>
      <c r="F3" s="265" t="e">
        <f t="shared" si="2"/>
        <v>#DIV/0!</v>
      </c>
    </row>
    <row r="4" spans="1:7" x14ac:dyDescent="0.25">
      <c r="A4" s="266" t="s">
        <v>23</v>
      </c>
      <c r="B4" s="267">
        <v>0</v>
      </c>
      <c r="C4" s="267">
        <v>0</v>
      </c>
      <c r="D4" s="268">
        <f t="shared" si="0"/>
        <v>0</v>
      </c>
      <c r="E4" s="269" t="e">
        <f>C4/B4-1</f>
        <v>#DIV/0!</v>
      </c>
      <c r="F4" s="270" t="e">
        <f t="shared" si="2"/>
        <v>#DIV/0!</v>
      </c>
    </row>
    <row r="5" spans="1:7" x14ac:dyDescent="0.25">
      <c r="A5" s="266" t="s">
        <v>22</v>
      </c>
      <c r="B5" s="267">
        <f>'COMPTES NSA (Chiffres Utiles)ok'!Q9</f>
        <v>455.01889946999995</v>
      </c>
      <c r="C5" s="267">
        <f>'COMPTES NSA (Chiffres Utiles)ok'!R9</f>
        <v>470.07117010000002</v>
      </c>
      <c r="D5" s="268">
        <f t="shared" si="0"/>
        <v>0.37696965504196089</v>
      </c>
      <c r="E5" s="269">
        <f t="shared" ref="E5:E9" si="3">C5/B5-1</f>
        <v>3.3080539396347586E-2</v>
      </c>
      <c r="F5" s="270">
        <f t="shared" si="2"/>
        <v>1.6600338330419517</v>
      </c>
    </row>
    <row r="6" spans="1:7" x14ac:dyDescent="0.25">
      <c r="A6" s="146" t="s">
        <v>129</v>
      </c>
      <c r="B6" s="147">
        <f>B10-(B2+B4+B5+B7+B8+B3+B9)</f>
        <v>131.38046085999997</v>
      </c>
      <c r="C6" s="147">
        <f>C10-(C2+C4+C5+C7+C8+C3+C9)</f>
        <v>108.97781060000011</v>
      </c>
      <c r="D6" s="143">
        <f t="shared" si="0"/>
        <v>8.7393846468760902E-2</v>
      </c>
      <c r="E6" s="212">
        <f>C6/B6-1</f>
        <v>-0.17051736699167386</v>
      </c>
      <c r="F6" s="191">
        <f t="shared" si="2"/>
        <v>-2.4706676019553937</v>
      </c>
    </row>
    <row r="7" spans="1:7" x14ac:dyDescent="0.25">
      <c r="A7" s="260" t="s">
        <v>123</v>
      </c>
      <c r="B7" s="147">
        <f>'NSA1 ok'!B34</f>
        <v>0</v>
      </c>
      <c r="C7" s="147">
        <f>'NSA1 ok'!C34</f>
        <v>0</v>
      </c>
      <c r="D7" s="143">
        <f t="shared" si="0"/>
        <v>0</v>
      </c>
      <c r="E7" s="212" t="e">
        <f>C7/B7-1</f>
        <v>#DIV/0!</v>
      </c>
      <c r="F7" s="191" t="e">
        <f t="shared" si="2"/>
        <v>#DIV/0!</v>
      </c>
    </row>
    <row r="8" spans="1:7" x14ac:dyDescent="0.25">
      <c r="A8" s="266" t="s">
        <v>64</v>
      </c>
      <c r="B8" s="267">
        <v>0</v>
      </c>
      <c r="C8" s="267">
        <v>0</v>
      </c>
      <c r="D8" s="268">
        <f t="shared" si="0"/>
        <v>0</v>
      </c>
      <c r="E8" s="269" t="e">
        <f t="shared" si="3"/>
        <v>#DIV/0!</v>
      </c>
      <c r="F8" s="270" t="e">
        <f t="shared" si="2"/>
        <v>#DIV/0!</v>
      </c>
      <c r="G8" s="146"/>
    </row>
    <row r="9" spans="1:7" x14ac:dyDescent="0.25">
      <c r="A9" s="146" t="s">
        <v>132</v>
      </c>
      <c r="B9" s="147">
        <f>'COMPTES NSA (Chiffres Utiles)ok'!Q16</f>
        <v>6.7770220200000004</v>
      </c>
      <c r="C9" s="147">
        <f>'COMPTES NSA (Chiffres Utiles)ok'!R16</f>
        <v>1.65263761</v>
      </c>
      <c r="D9" s="143">
        <f t="shared" si="0"/>
        <v>1.3253189503592377E-3</v>
      </c>
      <c r="E9" s="212">
        <f t="shared" si="3"/>
        <v>-0.75614102992098586</v>
      </c>
      <c r="F9" s="191">
        <f t="shared" si="2"/>
        <v>-0.56514074874248321</v>
      </c>
      <c r="G9" s="146"/>
    </row>
    <row r="10" spans="1:7" ht="13" x14ac:dyDescent="0.3">
      <c r="A10" s="179" t="s">
        <v>28</v>
      </c>
      <c r="B10" s="182">
        <f>'COMPTES NSA (Chiffres Utiles)ok'!Q9+'COMPTES NSA (Chiffres Utiles)ok'!Q16+'COMPTES NSA (Chiffres Utiles)ok'!Q23+'COMPTES NSA (Chiffres Utiles)ok'!Q30+'COMPTES NSA (Chiffres Utiles)ok'!Q44+'COMPTES NSA (Chiffres Utiles)ok'!Q51+'COMPTES NSA (Chiffres Utiles)ok'!Q58+'COMPTES NSA (Chiffres Utiles)ok'!Q65+'COMPTES NSA (Chiffres Utiles)ok'!Q72</f>
        <v>906.74481027999991</v>
      </c>
      <c r="C10" s="182">
        <f>'COMPTES NSA (Chiffres Utiles)ok'!R9+'COMPTES NSA (Chiffres Utiles)ok'!R16+'COMPTES NSA (Chiffres Utiles)ok'!R23+'COMPTES NSA (Chiffres Utiles)ok'!R30+'COMPTES NSA (Chiffres Utiles)ok'!R44+'COMPTES NSA (Chiffres Utiles)ok'!R51+'COMPTES NSA (Chiffres Utiles)ok'!R58+'COMPTES NSA (Chiffres Utiles)ok'!R65+'COMPTES NSA (Chiffres Utiles)ok'!R72</f>
        <v>1246.9734998900001</v>
      </c>
      <c r="D10" s="183">
        <f>SUM(D2:D9)</f>
        <v>1</v>
      </c>
      <c r="E10" s="213">
        <f>C10/B10-1</f>
        <v>0.37521989180719828</v>
      </c>
      <c r="F10" s="177">
        <f t="shared" si="2"/>
        <v>37.521989180719828</v>
      </c>
      <c r="G10" s="146"/>
    </row>
    <row r="11" spans="1:7" x14ac:dyDescent="0.25">
      <c r="A11" s="146"/>
      <c r="B11" s="303"/>
      <c r="C11" s="303"/>
      <c r="D11" s="146"/>
      <c r="E11" s="146"/>
      <c r="F11" s="146"/>
    </row>
    <row r="40" spans="1:6" ht="13" x14ac:dyDescent="0.3">
      <c r="A40" s="17" t="s">
        <v>139</v>
      </c>
      <c r="B40" s="17">
        <f>B1</f>
        <v>2021</v>
      </c>
      <c r="C40" s="17">
        <f>C1</f>
        <v>2022</v>
      </c>
      <c r="D40" s="178" t="s">
        <v>27</v>
      </c>
      <c r="E40" s="17" t="s">
        <v>58</v>
      </c>
      <c r="F40" s="17" t="s">
        <v>59</v>
      </c>
    </row>
    <row r="41" spans="1:6" x14ac:dyDescent="0.25">
      <c r="A41" s="271" t="s">
        <v>138</v>
      </c>
      <c r="B41" s="206">
        <f>'COMPTES NSA (Chiffres Utiles)ok'!Q6+'COMPTES NSA (Chiffres Utiles)ok'!Q13+'COMPTES NSA (Chiffres Utiles)ok'!Q20+'COMPTES NSA (Chiffres Utiles)ok'!Q27+'COMPTES NSA (Chiffres Utiles)ok'!Q41+'COMPTES NSA (Chiffres Utiles)ok'!Q48+'COMPTES NSA (Chiffres Utiles)ok'!Q55+'COMPTES NSA (Chiffres Utiles)ok'!Q62+'COMPTES NSA (Chiffres Utiles)ok'!Q69+'COMPTES NSA (Chiffres Utiles)ok'!Q34</f>
        <v>7204.82320239</v>
      </c>
      <c r="C41" s="206">
        <f>'COMPTES NSA (Chiffres Utiles)ok'!R6+'COMPTES NSA (Chiffres Utiles)ok'!R13+'COMPTES NSA (Chiffres Utiles)ok'!R20+'COMPTES NSA (Chiffres Utiles)ok'!R27+'COMPTES NSA (Chiffres Utiles)ok'!R41+'COMPTES NSA (Chiffres Utiles)ok'!R48+'COMPTES NSA (Chiffres Utiles)ok'!R55+'COMPTES NSA (Chiffres Utiles)ok'!R62+'COMPTES NSA (Chiffres Utiles)ok'!R69+'COMPTES NSA (Chiffres Utiles)ok'!R34</f>
        <v>7293.3621882400003</v>
      </c>
      <c r="D41" s="207">
        <f>C41/$C$46</f>
        <v>0.43301785202116544</v>
      </c>
      <c r="E41" s="207">
        <f t="shared" ref="E41:E46" si="4">C41/B41-1</f>
        <v>1.2288849200439822E-2</v>
      </c>
      <c r="F41" s="208">
        <f>(B41/$B$46)*E41*100</f>
        <v>0.53083344274656441</v>
      </c>
    </row>
    <row r="42" spans="1:6" x14ac:dyDescent="0.25">
      <c r="A42" s="146" t="s">
        <v>65</v>
      </c>
      <c r="B42" s="147">
        <f>'COMPTES NSA (Chiffres Utiles)ok'!Q8+'COMPTES NSA (Chiffres Utiles)ok'!Q15+'COMPTES NSA (Chiffres Utiles)ok'!Q22+'COMPTES NSA (Chiffres Utiles)ok'!Q29+'COMPTES NSA (Chiffres Utiles)ok'!Q43+'COMPTES NSA (Chiffres Utiles)ok'!Q50+'COMPTES NSA (Chiffres Utiles)ok'!Q57+'COMPTES NSA (Chiffres Utiles)ok'!Q64+'COMPTES NSA (Chiffres Utiles)ok'!Q71</f>
        <v>456.17965657000002</v>
      </c>
      <c r="C42" s="147">
        <f>'COMPTES NSA (Chiffres Utiles)ok'!R8+'COMPTES NSA (Chiffres Utiles)ok'!R15+'COMPTES NSA (Chiffres Utiles)ok'!R22+'COMPTES NSA (Chiffres Utiles)ok'!R29+'COMPTES NSA (Chiffres Utiles)ok'!R43+'COMPTES NSA (Chiffres Utiles)ok'!R50+'COMPTES NSA (Chiffres Utiles)ok'!R57+'COMPTES NSA (Chiffres Utiles)ok'!R64+'COMPTES NSA (Chiffres Utiles)ok'!R71</f>
        <v>437.72692805999998</v>
      </c>
      <c r="D42" s="143">
        <f t="shared" ref="D42:D46" si="5">C42/$C$46</f>
        <v>2.5988504241019211E-2</v>
      </c>
      <c r="E42" s="143">
        <f t="shared" si="4"/>
        <v>-4.0450573023675607E-2</v>
      </c>
      <c r="F42" s="191">
        <f t="shared" ref="F42:F46" si="6">(B42/$B$46)*E42*100</f>
        <v>-0.11063290717634683</v>
      </c>
    </row>
    <row r="43" spans="1:6" x14ac:dyDescent="0.25">
      <c r="A43" t="s">
        <v>66</v>
      </c>
      <c r="B43" s="29">
        <f>'COMPTES NSA (Chiffres Utiles)ok'!Q7+'COMPTES NSA (Chiffres Utiles)ok'!Q14+'COMPTES NSA (Chiffres Utiles)ok'!Q21+'COMPTES NSA (Chiffres Utiles)ok'!Q28+'COMPTES NSA (Chiffres Utiles)ok'!Q42+'COMPTES NSA (Chiffres Utiles)ok'!Q49+'COMPTES NSA (Chiffres Utiles)ok'!Q56+'COMPTES NSA (Chiffres Utiles)ok'!Q63+'COMPTES NSA (Chiffres Utiles)ok'!Q70+'COMPTES NSA (Chiffres Utiles)ok'!Q35</f>
        <v>550.84491793999996</v>
      </c>
      <c r="C43" s="29">
        <f>'COMPTES NSA (Chiffres Utiles)ok'!R7+'COMPTES NSA (Chiffres Utiles)ok'!R14+'COMPTES NSA (Chiffres Utiles)ok'!R21+'COMPTES NSA (Chiffres Utiles)ok'!R28+'COMPTES NSA (Chiffres Utiles)ok'!R42+'COMPTES NSA (Chiffres Utiles)ok'!R49+'COMPTES NSA (Chiffres Utiles)ok'!R56+'COMPTES NSA (Chiffres Utiles)ok'!R63+'COMPTES NSA (Chiffres Utiles)ok'!R70+'COMPTES NSA (Chiffres Utiles)ok'!R35</f>
        <v>660.46352081999999</v>
      </c>
      <c r="D43" s="143">
        <f t="shared" si="5"/>
        <v>3.9212709823317718E-2</v>
      </c>
      <c r="E43" s="175">
        <f t="shared" si="4"/>
        <v>0.19900084272346885</v>
      </c>
      <c r="F43" s="191">
        <f t="shared" si="6"/>
        <v>0.65721579931399754</v>
      </c>
    </row>
    <row r="44" spans="1:6" x14ac:dyDescent="0.25">
      <c r="A44" s="205" t="s">
        <v>67</v>
      </c>
      <c r="B44" s="206">
        <f>'COMPTES NSA (Chiffres Utiles)ok'!Q10+'COMPTES NSA (Chiffres Utiles)ok'!Q17+'COMPTES NSA (Chiffres Utiles)ok'!Q24+'COMPTES NSA (Chiffres Utiles)ok'!Q31+'COMPTES NSA (Chiffres Utiles)ok'!Q45+'COMPTES NSA (Chiffres Utiles)ok'!Q52+'COMPTES NSA (Chiffres Utiles)ok'!Q59+'COMPTES NSA (Chiffres Utiles)ok'!Q66+'COMPTES NSA (Chiffres Utiles)ok'!Q73</f>
        <v>7560.6477771599994</v>
      </c>
      <c r="C44" s="206">
        <f>'COMPTES NSA (Chiffres Utiles)ok'!R10+'COMPTES NSA (Chiffres Utiles)ok'!R17+'COMPTES NSA (Chiffres Utiles)ok'!R24+'COMPTES NSA (Chiffres Utiles)ok'!R31+'COMPTES NSA (Chiffres Utiles)ok'!R45+'COMPTES NSA (Chiffres Utiles)ok'!R52+'COMPTES NSA (Chiffres Utiles)ok'!R59+'COMPTES NSA (Chiffres Utiles)ok'!R66+'COMPTES NSA (Chiffres Utiles)ok'!R73</f>
        <v>7204.5720267200004</v>
      </c>
      <c r="D44" s="207">
        <f t="shared" si="5"/>
        <v>0.42774624696033398</v>
      </c>
      <c r="E44" s="207">
        <f t="shared" si="4"/>
        <v>-4.7095931583490791E-2</v>
      </c>
      <c r="F44" s="208">
        <f t="shared" si="6"/>
        <v>-2.1348439297108781</v>
      </c>
    </row>
    <row r="45" spans="1:6" x14ac:dyDescent="0.25">
      <c r="A45" t="s">
        <v>40</v>
      </c>
      <c r="B45" s="29">
        <f>'COMPTES NSA (Chiffres Utiles)ok'!Q9+'COMPTES NSA (Chiffres Utiles)ok'!Q16+'COMPTES NSA (Chiffres Utiles)ok'!Q23+'COMPTES NSA (Chiffres Utiles)ok'!Q30+'COMPTES NSA (Chiffres Utiles)ok'!Q44+'COMPTES NSA (Chiffres Utiles)ok'!Q51+'COMPTES NSA (Chiffres Utiles)ok'!Q58+'COMPTES NSA (Chiffres Utiles)ok'!Q65+'COMPTES NSA (Chiffres Utiles)ok'!Q72</f>
        <v>906.74481027999991</v>
      </c>
      <c r="C45" s="29">
        <f>'COMPTES NSA (Chiffres Utiles)ok'!R9+'COMPTES NSA (Chiffres Utiles)ok'!R16+'COMPTES NSA (Chiffres Utiles)ok'!R23+'COMPTES NSA (Chiffres Utiles)ok'!R30+'COMPTES NSA (Chiffres Utiles)ok'!R44+'COMPTES NSA (Chiffres Utiles)ok'!R51+'COMPTES NSA (Chiffres Utiles)ok'!R58+'COMPTES NSA (Chiffres Utiles)ok'!R65+'COMPTES NSA (Chiffres Utiles)ok'!R72</f>
        <v>1246.9734998900001</v>
      </c>
      <c r="D45" s="143">
        <f t="shared" si="5"/>
        <v>7.4034686954163709E-2</v>
      </c>
      <c r="E45" s="175">
        <f t="shared" si="4"/>
        <v>0.37521989180719828</v>
      </c>
      <c r="F45" s="191">
        <f t="shared" si="6"/>
        <v>2.0398332428700088</v>
      </c>
    </row>
    <row r="46" spans="1:6" ht="13" x14ac:dyDescent="0.3">
      <c r="A46" s="17" t="s">
        <v>25</v>
      </c>
      <c r="B46" s="30">
        <f>SUM(B41:B45)</f>
        <v>16679.240364339999</v>
      </c>
      <c r="C46" s="30">
        <f>SUM(C41:C45)</f>
        <v>16843.098163729999</v>
      </c>
      <c r="D46" s="183">
        <f t="shared" si="5"/>
        <v>1</v>
      </c>
      <c r="E46" s="176">
        <f t="shared" si="4"/>
        <v>9.8240564804332742E-3</v>
      </c>
      <c r="F46" s="272">
        <f t="shared" si="6"/>
        <v>0.98240564804332742</v>
      </c>
    </row>
    <row r="50" spans="9:14" x14ac:dyDescent="0.25">
      <c r="I50" s="282"/>
      <c r="J50" s="281" t="s">
        <v>140</v>
      </c>
      <c r="K50" s="281" t="s">
        <v>65</v>
      </c>
      <c r="L50" s="281" t="s">
        <v>66</v>
      </c>
      <c r="M50" s="281" t="s">
        <v>67</v>
      </c>
      <c r="N50" s="281" t="s">
        <v>40</v>
      </c>
    </row>
    <row r="51" spans="9:14" x14ac:dyDescent="0.25">
      <c r="I51" s="468" t="s">
        <v>177</v>
      </c>
      <c r="J51" s="469">
        <f>E41</f>
        <v>1.2288849200439822E-2</v>
      </c>
      <c r="K51" s="469">
        <f>E42</f>
        <v>-4.0450573023675607E-2</v>
      </c>
      <c r="L51" s="469">
        <f>E43</f>
        <v>0.19900084272346885</v>
      </c>
      <c r="M51" s="469">
        <f>E44</f>
        <v>-4.7095931583490791E-2</v>
      </c>
      <c r="N51" s="469">
        <f>E45</f>
        <v>0.37521989180719828</v>
      </c>
    </row>
    <row r="52" spans="9:14" x14ac:dyDescent="0.25">
      <c r="I52" s="468"/>
      <c r="J52" s="469"/>
      <c r="K52" s="469"/>
      <c r="L52" s="469"/>
      <c r="M52" s="469"/>
      <c r="N52" s="469"/>
    </row>
    <row r="53" spans="9:14" x14ac:dyDescent="0.25">
      <c r="I53" s="468" t="s">
        <v>178</v>
      </c>
      <c r="J53" s="467">
        <f>F41</f>
        <v>0.53083344274656441</v>
      </c>
      <c r="K53" s="467">
        <f>F42</f>
        <v>-0.11063290717634683</v>
      </c>
      <c r="L53" s="467">
        <f>F43</f>
        <v>0.65721579931399754</v>
      </c>
      <c r="M53" s="467">
        <f>F44</f>
        <v>-2.1348439297108781</v>
      </c>
      <c r="N53" s="467">
        <f>F45</f>
        <v>2.0398332428700088</v>
      </c>
    </row>
    <row r="54" spans="9:14" x14ac:dyDescent="0.25">
      <c r="I54" s="468"/>
      <c r="J54" s="467"/>
      <c r="K54" s="467"/>
      <c r="L54" s="467"/>
      <c r="M54" s="467"/>
      <c r="N54" s="467"/>
    </row>
  </sheetData>
  <mergeCells count="12">
    <mergeCell ref="N53:N54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/>
  <dimension ref="A1:D37"/>
  <sheetViews>
    <sheetView zoomScaleNormal="100" workbookViewId="0"/>
  </sheetViews>
  <sheetFormatPr baseColWidth="10" defaultColWidth="46" defaultRowHeight="12.5" x14ac:dyDescent="0.25"/>
  <cols>
    <col min="1" max="1" width="34.81640625" bestFit="1" customWidth="1"/>
    <col min="2" max="2" width="17.81640625" bestFit="1" customWidth="1"/>
    <col min="3" max="3" width="18.1796875" bestFit="1" customWidth="1"/>
  </cols>
  <sheetData>
    <row r="1" spans="1:4" ht="23" x14ac:dyDescent="0.25">
      <c r="A1" s="218" t="s">
        <v>16</v>
      </c>
      <c r="B1" s="219" t="str">
        <f>'NSA1 ok'!B1</f>
        <v>Réalisation 2021</v>
      </c>
      <c r="C1" s="219" t="str">
        <f>'NSA1 ok'!C1</f>
        <v>Réalisation 2022</v>
      </c>
    </row>
    <row r="2" spans="1:4" x14ac:dyDescent="0.25">
      <c r="A2" s="19" t="s">
        <v>88</v>
      </c>
      <c r="B2" s="338">
        <f>'COMPTES NSA (Chiffres Utiles)ok'!D7+'COMPTES NSA (Chiffres Utiles)ok'!D14+'COMPTES NSA (Chiffres Utiles)ok'!D21+'COMPTES NSA (Chiffres Utiles)ok'!D30+'COMPTES NSA (Chiffres Utiles)ok'!D37+'COMPTES NSA (Chiffres Utiles)ok'!D44+'COMPTES NSA (Chiffres Utiles)ok'!D51</f>
        <v>7199.0201815900009</v>
      </c>
      <c r="C2" s="393">
        <f>'COMPTES NSA (Chiffres Utiles)ok'!E7+'COMPTES NSA (Chiffres Utiles)ok'!E14+'COMPTES NSA (Chiffres Utiles)ok'!E30+'COMPTES NSA (Chiffres Utiles)ok'!E37+'COMPTES NSA (Chiffres Utiles)ok'!E44+'COMPTES NSA (Chiffres Utiles)ok'!E51+'COMPTES NSA (Chiffres Utiles)ok'!E21</f>
        <v>7303.6836321400006</v>
      </c>
    </row>
    <row r="3" spans="1:4" x14ac:dyDescent="0.25">
      <c r="A3" s="19" t="s">
        <v>89</v>
      </c>
      <c r="B3" s="399">
        <f>'COMPTES NSA (Chiffres Utiles)ok'!Q6+'COMPTES NSA (Chiffres Utiles)ok'!Q13+'COMPTES NSA (Chiffres Utiles)ok'!Q20+'COMPTES NSA (Chiffres Utiles)ok'!Q27+'COMPTES NSA (Chiffres Utiles)ok'!Q41+'COMPTES NSA (Chiffres Utiles)ok'!Q48+'COMPTES NSA (Chiffres Utiles)ok'!Q55+'COMPTES NSA (Chiffres Utiles)ok'!Q62+'COMPTES NSA (Chiffres Utiles)ok'!Q69+'COMPTES NSA (Chiffres Utiles)ok'!Q34</f>
        <v>7204.82320239</v>
      </c>
      <c r="C3" s="220">
        <f>'COMPTES NSA (Chiffres Utiles)ok'!R6+'COMPTES NSA (Chiffres Utiles)ok'!R13+'COMPTES NSA (Chiffres Utiles)ok'!R20+'COMPTES NSA (Chiffres Utiles)ok'!R27+'COMPTES NSA (Chiffres Utiles)ok'!R41+'COMPTES NSA (Chiffres Utiles)ok'!R48+'COMPTES NSA (Chiffres Utiles)ok'!R55+'COMPTES NSA (Chiffres Utiles)ok'!R62+'COMPTES NSA (Chiffres Utiles)ok'!R69+'COMPTES NSA (Chiffres Utiles)ok'!R34</f>
        <v>7293.3621882400003</v>
      </c>
    </row>
    <row r="4" spans="1:4" ht="13" x14ac:dyDescent="0.3">
      <c r="A4" s="221" t="s">
        <v>131</v>
      </c>
      <c r="B4" s="222">
        <f>B3-B2</f>
        <v>5.8030207999991035</v>
      </c>
      <c r="C4" s="222">
        <f>C3-C2</f>
        <v>-10.321443900000304</v>
      </c>
    </row>
    <row r="5" spans="1:4" x14ac:dyDescent="0.25">
      <c r="A5" s="19" t="s">
        <v>90</v>
      </c>
      <c r="B5" s="394">
        <f>'COMPTES NSA (Chiffres Utiles)ok'!D11+'COMPTES NSA (Chiffres Utiles)ok'!D18+'COMPTES NSA (Chiffres Utiles)ok'!D25+'COMPTES NSA (Chiffres Utiles)ok'!D34+'COMPTES NSA (Chiffres Utiles)ok'!D41+'COMPTES NSA (Chiffres Utiles)ok'!D48+'COMPTES NSA (Chiffres Utiles)ok'!D55</f>
        <v>7053.1216465200005</v>
      </c>
      <c r="C5" s="394">
        <f>'COMPTES NSA (Chiffres Utiles)ok'!E11+'COMPTES NSA (Chiffres Utiles)ok'!E18+'COMPTES NSA (Chiffres Utiles)ok'!E25+'COMPTES NSA (Chiffres Utiles)ok'!E34+'COMPTES NSA (Chiffres Utiles)ok'!E41+'COMPTES NSA (Chiffres Utiles)ok'!E48+'COMPTES NSA (Chiffres Utiles)ok'!E55</f>
        <v>7099.6168018699982</v>
      </c>
    </row>
    <row r="6" spans="1:4" x14ac:dyDescent="0.25">
      <c r="A6" s="19" t="s">
        <v>91</v>
      </c>
      <c r="B6" s="95">
        <f>'COMPTES NSA (Chiffres Utiles)ok'!Q10+'COMPTES NSA (Chiffres Utiles)ok'!Q17+'COMPTES NSA (Chiffres Utiles)ok'!Q24+'COMPTES NSA (Chiffres Utiles)ok'!Q31+'COMPTES NSA (Chiffres Utiles)ok'!Q45+'COMPTES NSA (Chiffres Utiles)ok'!Q52+'COMPTES NSA (Chiffres Utiles)ok'!Q59+'COMPTES NSA (Chiffres Utiles)ok'!Q66+'COMPTES NSA (Chiffres Utiles)ok'!Q73</f>
        <v>7560.6477771599994</v>
      </c>
      <c r="C6" s="95">
        <f>'COMPTES NSA (Chiffres Utiles)ok'!R10+'COMPTES NSA (Chiffres Utiles)ok'!R17+'COMPTES NSA (Chiffres Utiles)ok'!R24+'COMPTES NSA (Chiffres Utiles)ok'!R31+'COMPTES NSA (Chiffres Utiles)ok'!R45+'COMPTES NSA (Chiffres Utiles)ok'!R52+'COMPTES NSA (Chiffres Utiles)ok'!R59+'COMPTES NSA (Chiffres Utiles)ok'!R66+'COMPTES NSA (Chiffres Utiles)ok'!R73</f>
        <v>7204.5720267200004</v>
      </c>
    </row>
    <row r="7" spans="1:4" ht="13" x14ac:dyDescent="0.3">
      <c r="A7" s="221" t="s">
        <v>92</v>
      </c>
      <c r="B7" s="222">
        <f>B6-B5</f>
        <v>507.52613063999888</v>
      </c>
      <c r="C7" s="222">
        <f>C6-C5</f>
        <v>104.9552248500022</v>
      </c>
    </row>
    <row r="8" spans="1:4" x14ac:dyDescent="0.25">
      <c r="A8" s="398" t="s">
        <v>93</v>
      </c>
      <c r="B8" s="391">
        <f>'COMPTES NSA (Chiffres Utiles)ok'!D8+'COMPTES NSA (Chiffres Utiles)ok'!D15+'COMPTES NSA (Chiffres Utiles)ok'!D22+'COMPTES NSA (Chiffres Utiles)ok'!D31+'COMPTES NSA (Chiffres Utiles)ok'!D38+'COMPTES NSA (Chiffres Utiles)ok'!D45+'COMPTES NSA (Chiffres Utiles)ok'!D52</f>
        <v>417.89872454999994</v>
      </c>
      <c r="C8" s="391">
        <f>'COMPTES NSA (Chiffres Utiles)ok'!E8+'COMPTES NSA (Chiffres Utiles)ok'!E15+'COMPTES NSA (Chiffres Utiles)ok'!E22+'COMPTES NSA (Chiffres Utiles)ok'!E31+'COMPTES NSA (Chiffres Utiles)ok'!E38+'COMPTES NSA (Chiffres Utiles)ok'!E45+'COMPTES NSA (Chiffres Utiles)ok'!E52</f>
        <v>422.34210016999998</v>
      </c>
    </row>
    <row r="9" spans="1:4" x14ac:dyDescent="0.25">
      <c r="A9" s="398" t="s">
        <v>94</v>
      </c>
      <c r="B9" s="338">
        <f>+'COMPTES NSA (Chiffres Utiles)ok'!Q8+'COMPTES NSA (Chiffres Utiles)ok'!Q15+'COMPTES NSA (Chiffres Utiles)ok'!Q22+'COMPTES NSA (Chiffres Utiles)ok'!Q29+'COMPTES NSA (Chiffres Utiles)ok'!Q36+'COMPTES NSA (Chiffres Utiles)ok'!Q43+'COMPTES NSA (Chiffres Utiles)ok'!Q50+'COMPTES NSA (Chiffres Utiles)ok'!Q57+'COMPTES NSA (Chiffres Utiles)ok'!Q64+'COMPTES NSA (Chiffres Utiles)ok'!Q71</f>
        <v>456.17965657000002</v>
      </c>
      <c r="C9" s="338">
        <f>+'COMPTES NSA (Chiffres Utiles)ok'!R8+'COMPTES NSA (Chiffres Utiles)ok'!R15+'COMPTES NSA (Chiffres Utiles)ok'!R22+'COMPTES NSA (Chiffres Utiles)ok'!R29+'COMPTES NSA (Chiffres Utiles)ok'!R36+'COMPTES NSA (Chiffres Utiles)ok'!R43+'COMPTES NSA (Chiffres Utiles)ok'!R50+'COMPTES NSA (Chiffres Utiles)ok'!R57+'COMPTES NSA (Chiffres Utiles)ok'!R64+'COMPTES NSA (Chiffres Utiles)ok'!R71</f>
        <v>437.72692805999998</v>
      </c>
    </row>
    <row r="10" spans="1:4" ht="13" x14ac:dyDescent="0.3">
      <c r="A10" s="396" t="s">
        <v>95</v>
      </c>
      <c r="B10" s="397">
        <f>B9-B8</f>
        <v>38.28093202000008</v>
      </c>
      <c r="C10" s="397">
        <f>C9-C8</f>
        <v>15.384827889999997</v>
      </c>
    </row>
    <row r="11" spans="1:4" x14ac:dyDescent="0.25">
      <c r="A11" s="19" t="s">
        <v>96</v>
      </c>
      <c r="B11" s="395">
        <f>'COMPTES NSA (Chiffres Utiles)ok'!D9+'COMPTES NSA (Chiffres Utiles)ok'!D16+'COMPTES NSA (Chiffres Utiles)ok'!D23+'COMPTES NSA (Chiffres Utiles)ok'!D32+'COMPTES NSA (Chiffres Utiles)ok'!D39+'COMPTES NSA (Chiffres Utiles)ok'!D46+'COMPTES NSA (Chiffres Utiles)ok'!D53</f>
        <v>550.85053779000009</v>
      </c>
      <c r="C11" s="395">
        <f>'COMPTES NSA (Chiffres Utiles)ok'!E9+'COMPTES NSA (Chiffres Utiles)ok'!E16+'COMPTES NSA (Chiffres Utiles)ok'!E23+'COMPTES NSA (Chiffres Utiles)ok'!E32+'COMPTES NSA (Chiffres Utiles)ok'!E39+'COMPTES NSA (Chiffres Utiles)ok'!E46+'COMPTES NSA (Chiffres Utiles)ok'!E53</f>
        <v>660.4635208200001</v>
      </c>
    </row>
    <row r="12" spans="1:4" x14ac:dyDescent="0.25">
      <c r="A12" s="19" t="s">
        <v>97</v>
      </c>
      <c r="B12" s="220">
        <f>'COMPTES NSA (Chiffres Utiles)ok'!Q7+'COMPTES NSA (Chiffres Utiles)ok'!Q14+'COMPTES NSA (Chiffres Utiles)ok'!Q21+'COMPTES NSA (Chiffres Utiles)ok'!Q28+'COMPTES NSA (Chiffres Utiles)ok'!Q42+'COMPTES NSA (Chiffres Utiles)ok'!Q49+'COMPTES NSA (Chiffres Utiles)ok'!Q56+'COMPTES NSA (Chiffres Utiles)ok'!Q63+'COMPTES NSA (Chiffres Utiles)ok'!Q70+'COMPTES NSA (Chiffres Utiles)ok'!Q35</f>
        <v>550.84491793999996</v>
      </c>
      <c r="C12" s="220">
        <f>'COMPTES NSA (Chiffres Utiles)ok'!R7+'COMPTES NSA (Chiffres Utiles)ok'!R14+'COMPTES NSA (Chiffres Utiles)ok'!R21+'COMPTES NSA (Chiffres Utiles)ok'!R28+'COMPTES NSA (Chiffres Utiles)ok'!R42+'COMPTES NSA (Chiffres Utiles)ok'!R49+'COMPTES NSA (Chiffres Utiles)ok'!R56+'COMPTES NSA (Chiffres Utiles)ok'!R63+'COMPTES NSA (Chiffres Utiles)ok'!R70+'COMPTES NSA (Chiffres Utiles)ok'!R35</f>
        <v>660.46352081999999</v>
      </c>
    </row>
    <row r="13" spans="1:4" ht="13" x14ac:dyDescent="0.3">
      <c r="A13" s="221" t="s">
        <v>98</v>
      </c>
      <c r="B13" s="222">
        <f>B12-B11</f>
        <v>-5.6198500001300999E-3</v>
      </c>
      <c r="C13" s="222">
        <f>C12-C11</f>
        <v>0</v>
      </c>
    </row>
    <row r="14" spans="1:4" x14ac:dyDescent="0.25">
      <c r="A14" s="19" t="s">
        <v>102</v>
      </c>
      <c r="B14" s="392">
        <f>'COMPTES NSA (Chiffres Utiles)ok'!D10+'COMPTES NSA (Chiffres Utiles)ok'!D17+'COMPTES NSA (Chiffres Utiles)ok'!D24+'COMPTES NSA (Chiffres Utiles)ok'!D33+'COMPTES NSA (Chiffres Utiles)ok'!D40+'COMPTES NSA (Chiffres Utiles)ok'!D47+'COMPTES NSA (Chiffres Utiles)ok'!D54</f>
        <v>917.18108596000002</v>
      </c>
      <c r="C14" s="392">
        <f>'COMPTES NSA (Chiffres Utiles)ok'!E10+'COMPTES NSA (Chiffres Utiles)ok'!E17+'COMPTES NSA (Chiffres Utiles)ok'!E24+'COMPTES NSA (Chiffres Utiles)ok'!E33+'COMPTES NSA (Chiffres Utiles)ok'!E40+'COMPTES NSA (Chiffres Utiles)ok'!E47+'COMPTES NSA (Chiffres Utiles)ok'!E54</f>
        <v>1172.7162606199997</v>
      </c>
    </row>
    <row r="15" spans="1:4" x14ac:dyDescent="0.25">
      <c r="A15" s="19" t="s">
        <v>103</v>
      </c>
      <c r="B15" s="220">
        <f>'COMPTES NSA (Chiffres Utiles)ok'!Q9+'COMPTES NSA (Chiffres Utiles)ok'!Q16+'COMPTES NSA (Chiffres Utiles)ok'!Q23+'COMPTES NSA (Chiffres Utiles)ok'!Q30+'COMPTES NSA (Chiffres Utiles)ok'!Q44+'COMPTES NSA (Chiffres Utiles)ok'!Q51+'COMPTES NSA (Chiffres Utiles)ok'!Q58+'COMPTES NSA (Chiffres Utiles)ok'!Q65+'COMPTES NSA (Chiffres Utiles)ok'!Q72</f>
        <v>906.74481027999991</v>
      </c>
      <c r="C15" s="220">
        <f>'COMPTES NSA (Chiffres Utiles)ok'!R9+'COMPTES NSA (Chiffres Utiles)ok'!R16+'COMPTES NSA (Chiffres Utiles)ok'!R23+'COMPTES NSA (Chiffres Utiles)ok'!R30+'COMPTES NSA (Chiffres Utiles)ok'!R44+'COMPTES NSA (Chiffres Utiles)ok'!R51+'COMPTES NSA (Chiffres Utiles)ok'!R58+'COMPTES NSA (Chiffres Utiles)ok'!R65+'COMPTES NSA (Chiffres Utiles)ok'!R72</f>
        <v>1246.9734998900001</v>
      </c>
      <c r="D15" s="337"/>
    </row>
    <row r="16" spans="1:4" ht="13" x14ac:dyDescent="0.3">
      <c r="A16" s="221" t="s">
        <v>104</v>
      </c>
      <c r="B16" s="222">
        <f>B15-B14</f>
        <v>-10.436275680000108</v>
      </c>
      <c r="C16" s="222">
        <f>C15-C14</f>
        <v>74.257239270000355</v>
      </c>
    </row>
    <row r="17" spans="1:4" ht="13" x14ac:dyDescent="0.3">
      <c r="A17" s="19" t="s">
        <v>99</v>
      </c>
      <c r="B17" s="220">
        <f>B2+B5+B8+B11+B14</f>
        <v>16138.072176410002</v>
      </c>
      <c r="C17" s="220">
        <f>C2+C5+C8+C11+C14</f>
        <v>16658.822315619997</v>
      </c>
      <c r="D17" s="223">
        <f>'COMPTES NSA (Chiffres Utiles)ok'!E57</f>
        <v>16658.82231562</v>
      </c>
    </row>
    <row r="18" spans="1:4" ht="13" x14ac:dyDescent="0.3">
      <c r="A18" s="19" t="s">
        <v>100</v>
      </c>
      <c r="B18" s="220">
        <f>B3+B6+B9+B12+B15</f>
        <v>16679.240364339999</v>
      </c>
      <c r="C18" s="220">
        <f>C3+C6+C9+C12+C15</f>
        <v>16843.098163729999</v>
      </c>
      <c r="D18" s="223">
        <f>'COMPTES NSA (Chiffres Utiles)ok'!R75</f>
        <v>16843.098163729999</v>
      </c>
    </row>
    <row r="19" spans="1:4" ht="13" x14ac:dyDescent="0.3">
      <c r="A19" s="221" t="s">
        <v>101</v>
      </c>
      <c r="B19" s="222">
        <f>B18-B17</f>
        <v>541.16818792999766</v>
      </c>
      <c r="C19" s="222">
        <f>C18-C17</f>
        <v>184.2758481100027</v>
      </c>
    </row>
    <row r="20" spans="1:4" ht="13" x14ac:dyDescent="0.3">
      <c r="B20" s="253">
        <f>'COMPTES NSA (Chiffres Utiles)ok'!D58</f>
        <v>541.1681879299922</v>
      </c>
      <c r="C20" s="253">
        <f>'COMPTES NSA (Chiffres Utiles)ok'!E58</f>
        <v>184.27584810999906</v>
      </c>
    </row>
    <row r="21" spans="1:4" x14ac:dyDescent="0.25">
      <c r="B21" t="b">
        <f>B18='COMPTES NSA (Chiffres Utiles)ok'!Q75</f>
        <v>1</v>
      </c>
    </row>
    <row r="22" spans="1:4" ht="13" thickBot="1" x14ac:dyDescent="0.3"/>
    <row r="23" spans="1:4" x14ac:dyDescent="0.25">
      <c r="A23" s="470" t="s">
        <v>124</v>
      </c>
      <c r="B23" s="472">
        <v>2021</v>
      </c>
      <c r="C23" s="475">
        <v>2022</v>
      </c>
      <c r="D23" s="475" t="s">
        <v>183</v>
      </c>
    </row>
    <row r="24" spans="1:4" ht="31.5" customHeight="1" x14ac:dyDescent="0.25">
      <c r="A24" s="470"/>
      <c r="B24" s="473"/>
      <c r="C24" s="476"/>
      <c r="D24" s="476"/>
    </row>
    <row r="25" spans="1:4" ht="13" thickBot="1" x14ac:dyDescent="0.3">
      <c r="A25" s="471"/>
      <c r="B25" s="474"/>
      <c r="C25" s="477"/>
      <c r="D25" s="477"/>
    </row>
    <row r="26" spans="1:4" ht="13" thickBot="1" x14ac:dyDescent="0.3">
      <c r="A26" s="255" t="s">
        <v>125</v>
      </c>
      <c r="B26" s="375">
        <f>[4]Maladie!$H$213</f>
        <v>4140.1775857699995</v>
      </c>
      <c r="C26" s="406">
        <f>[4]Maladie!$I$213</f>
        <v>4231.4442780600002</v>
      </c>
      <c r="D26" s="256">
        <f>C26/B26-1</f>
        <v>2.204414916975761E-2</v>
      </c>
    </row>
    <row r="27" spans="1:4" ht="13" thickBot="1" x14ac:dyDescent="0.3">
      <c r="A27" s="257" t="s">
        <v>126</v>
      </c>
      <c r="B27" s="376">
        <f>[4]Famille!$H$123</f>
        <v>360.71186182000002</v>
      </c>
      <c r="C27" s="407">
        <f>[4]Famille!$I$123</f>
        <v>408.39499180000001</v>
      </c>
      <c r="D27" s="256">
        <f>C27/B27-1</f>
        <v>0.13219174367987518</v>
      </c>
    </row>
    <row r="28" spans="1:4" ht="13" thickBot="1" x14ac:dyDescent="0.3">
      <c r="A28" s="258" t="s">
        <v>127</v>
      </c>
      <c r="B28" s="377">
        <f>SUM(B26:B27)</f>
        <v>4500.8894475899997</v>
      </c>
      <c r="C28" s="377">
        <f>SUM(C26:C27)</f>
        <v>4639.8392698600001</v>
      </c>
      <c r="D28" s="259">
        <f>C28/B28-1</f>
        <v>3.0871636348322351E-2</v>
      </c>
    </row>
    <row r="37" spans="4:4" x14ac:dyDescent="0.25">
      <c r="D37" t="s">
        <v>172</v>
      </c>
    </row>
  </sheetData>
  <mergeCells count="4">
    <mergeCell ref="A23:A25"/>
    <mergeCell ref="B23:B25"/>
    <mergeCell ref="C23:C25"/>
    <mergeCell ref="D23:D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Bilan NSA</vt:lpstr>
      <vt:lpstr>COMPTES NSA (Chiffres Utiles)ok</vt:lpstr>
      <vt:lpstr>NSA1 ok</vt:lpstr>
      <vt:lpstr>Effectifs ok</vt:lpstr>
      <vt:lpstr>%charges ok</vt:lpstr>
      <vt:lpstr>%produits ok</vt:lpstr>
      <vt:lpstr>%produitsRetraite ok</vt:lpstr>
      <vt:lpstr>%produitsRCO ok</vt:lpstr>
      <vt:lpstr>Résultat net ok</vt:lpstr>
      <vt:lpstr>Charges techniques</vt:lpstr>
      <vt:lpstr>'COMPTES NSA (Chiffres Utiles)ok'!Zone_d_impression</vt:lpstr>
    </vt:vector>
  </TitlesOfParts>
  <Company>GETIMA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GUERINVA</dc:creator>
  <cp:lastModifiedBy>Claudine Gaillard</cp:lastModifiedBy>
  <cp:lastPrinted>2016-04-13T13:53:00Z</cp:lastPrinted>
  <dcterms:created xsi:type="dcterms:W3CDTF">2012-05-14T13:27:34Z</dcterms:created>
  <dcterms:modified xsi:type="dcterms:W3CDTF">2023-10-16T07:24:28Z</dcterms:modified>
</cp:coreProperties>
</file>