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SY Bilan financier SA 2022\A diffuser\"/>
    </mc:Choice>
  </mc:AlternateContent>
  <xr:revisionPtr revIDLastSave="0" documentId="13_ncr:1_{53BD6AF9-65A3-46B6-80F4-51C5B82E5664}" xr6:coauthVersionLast="47" xr6:coauthVersionMax="47" xr10:uidLastSave="{00000000-0000-0000-0000-000000000000}"/>
  <bookViews>
    <workbookView xWindow="-110" yWindow="-110" windowWidth="17020" windowHeight="10120" tabRatio="827" xr2:uid="{00000000-000D-0000-FFFF-FFFF00000000}"/>
  </bookViews>
  <sheets>
    <sheet name="Bilan SA" sheetId="11" r:id="rId1"/>
    <sheet name="COMPTES SA (Chiffres utiles)" sheetId="6" r:id="rId2"/>
    <sheet name="SA1" sheetId="1" r:id="rId3"/>
    <sheet name="Effectifs" sheetId="2" r:id="rId4"/>
    <sheet name="%charges" sheetId="4" r:id="rId5"/>
    <sheet name="%produits" sheetId="7" r:id="rId6"/>
    <sheet name="%chargesRetraite" sheetId="10" r:id="rId7"/>
    <sheet name="%produitsRetraite" sheetId="9" r:id="rId8"/>
    <sheet name="Résultat net" sheetId="8" r:id="rId9"/>
  </sheets>
  <externalReferences>
    <externalReference r:id="rId10"/>
    <externalReference r:id="rId11"/>
    <externalReference r:id="rId12"/>
  </externalReferences>
  <definedNames>
    <definedName name="_xlnm.Print_Area" localSheetId="1">'COMPTES SA (Chiffres utiles)'!$A$1:$L$52,'COMPTES SA (Chiffres utiles)'!$N$1:$Y$69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8" l="1"/>
  <c r="B22" i="7"/>
  <c r="C22" i="7"/>
  <c r="C34" i="1"/>
  <c r="B34" i="1"/>
  <c r="C39" i="1"/>
  <c r="B39" i="1"/>
  <c r="C44" i="1"/>
  <c r="B44" i="1"/>
  <c r="O71" i="6" l="1"/>
  <c r="P71" i="6"/>
  <c r="Q71" i="6"/>
  <c r="R71" i="6"/>
  <c r="T71" i="6" s="1"/>
  <c r="C27" i="8"/>
  <c r="B27" i="8"/>
  <c r="C28" i="8" l="1"/>
  <c r="B28" i="8"/>
  <c r="C26" i="8"/>
  <c r="B26" i="8"/>
  <c r="B41" i="4" l="1"/>
  <c r="F9" i="2" l="1"/>
  <c r="E9" i="2"/>
  <c r="H6" i="2"/>
  <c r="G6" i="2"/>
  <c r="F6" i="2"/>
  <c r="E6" i="2"/>
  <c r="G5" i="2"/>
  <c r="F5" i="2"/>
  <c r="E5" i="2"/>
  <c r="H4" i="2"/>
  <c r="G4" i="2"/>
  <c r="F4" i="2"/>
  <c r="E4" i="2"/>
  <c r="D3" i="2" l="1"/>
  <c r="E3" i="2" s="1"/>
  <c r="F3" i="2" s="1"/>
  <c r="G3" i="2" s="1"/>
  <c r="H3" i="2" s="1"/>
  <c r="C3" i="2"/>
  <c r="C40" i="1" l="1"/>
  <c r="B40" i="1"/>
  <c r="C30" i="1"/>
  <c r="B30" i="1"/>
  <c r="C42" i="1"/>
  <c r="B42" i="1"/>
  <c r="C38" i="1"/>
  <c r="C7" i="9" s="1"/>
  <c r="B38" i="1"/>
  <c r="B7" i="9" s="1"/>
  <c r="C33" i="1"/>
  <c r="B33" i="1"/>
  <c r="C29" i="1"/>
  <c r="B29" i="1"/>
  <c r="C31" i="1"/>
  <c r="B31" i="1"/>
  <c r="C27" i="1"/>
  <c r="B27" i="1"/>
  <c r="C8" i="1"/>
  <c r="B8" i="1"/>
  <c r="C7" i="1"/>
  <c r="B7" i="1"/>
  <c r="C6" i="1"/>
  <c r="B6" i="1"/>
  <c r="C5" i="1"/>
  <c r="B5" i="1"/>
  <c r="C4" i="1"/>
  <c r="C3" i="1" s="1"/>
  <c r="B4" i="1"/>
  <c r="B8" i="7" l="1"/>
  <c r="C8" i="7"/>
  <c r="P60" i="6"/>
  <c r="O3" i="6"/>
  <c r="Q60" i="6" l="1"/>
  <c r="O60" i="6"/>
  <c r="Q54" i="6"/>
  <c r="P54" i="6"/>
  <c r="O54" i="6"/>
  <c r="Q48" i="6"/>
  <c r="P48" i="6"/>
  <c r="O48" i="6"/>
  <c r="Q42" i="6"/>
  <c r="P42" i="6"/>
  <c r="O42" i="6"/>
  <c r="Q36" i="6"/>
  <c r="P36" i="6"/>
  <c r="O36" i="6"/>
  <c r="Q30" i="6"/>
  <c r="P30" i="6"/>
  <c r="O30" i="6"/>
  <c r="Q24" i="6"/>
  <c r="P24" i="6"/>
  <c r="O24" i="6"/>
  <c r="Q18" i="6"/>
  <c r="P18" i="6"/>
  <c r="O18" i="6"/>
  <c r="Q12" i="6"/>
  <c r="P12" i="6"/>
  <c r="O12" i="6"/>
  <c r="Q5" i="6"/>
  <c r="P5" i="6"/>
  <c r="O5" i="6"/>
  <c r="D45" i="6"/>
  <c r="C45" i="6"/>
  <c r="B45" i="6"/>
  <c r="D39" i="6"/>
  <c r="C39" i="6"/>
  <c r="B39" i="6"/>
  <c r="D33" i="6"/>
  <c r="C33" i="6"/>
  <c r="B33" i="6"/>
  <c r="D27" i="6"/>
  <c r="C27" i="6"/>
  <c r="B27" i="6"/>
  <c r="D19" i="6"/>
  <c r="D25" i="6" s="1"/>
  <c r="C19" i="6"/>
  <c r="B19" i="6"/>
  <c r="D13" i="6"/>
  <c r="C13" i="6"/>
  <c r="B13" i="6"/>
  <c r="D5" i="6"/>
  <c r="C5" i="6"/>
  <c r="B5" i="6"/>
  <c r="C3" i="6"/>
  <c r="D3" i="6" s="1"/>
  <c r="P66" i="6" l="1"/>
  <c r="Q66" i="6"/>
  <c r="O66" i="6"/>
  <c r="F20" i="6"/>
  <c r="F23" i="6"/>
  <c r="F21" i="6"/>
  <c r="F22" i="6"/>
  <c r="D51" i="6"/>
  <c r="C25" i="6"/>
  <c r="C51" i="6" s="1"/>
  <c r="B25" i="6"/>
  <c r="B51" i="6" s="1"/>
  <c r="E8" i="1"/>
  <c r="C52" i="6" l="1"/>
  <c r="D52" i="6"/>
  <c r="B52" i="6"/>
  <c r="D38" i="10"/>
  <c r="W24" i="6" l="1"/>
  <c r="B59" i="7"/>
  <c r="B15" i="8"/>
  <c r="C15" i="8"/>
  <c r="C59" i="7"/>
  <c r="C41" i="4"/>
  <c r="F41" i="4" s="1"/>
  <c r="B14" i="8"/>
  <c r="C14" i="8"/>
  <c r="D41" i="4"/>
  <c r="W19" i="6"/>
  <c r="G41" i="4" l="1"/>
  <c r="M58" i="4" s="1"/>
  <c r="E59" i="7"/>
  <c r="N67" i="7" s="1"/>
  <c r="E19" i="6"/>
  <c r="R24" i="6"/>
  <c r="E5" i="6"/>
  <c r="R36" i="6"/>
  <c r="E39" i="6"/>
  <c r="R60" i="6"/>
  <c r="C38" i="10"/>
  <c r="D8" i="1" l="1"/>
  <c r="E4" i="1"/>
  <c r="B3" i="1"/>
  <c r="F8" i="1" s="1"/>
  <c r="F38" i="10"/>
  <c r="G38" i="10"/>
  <c r="X24" i="6"/>
  <c r="S24" i="6"/>
  <c r="T24" i="6"/>
  <c r="Y24" i="6" l="1"/>
  <c r="J44" i="10"/>
  <c r="U24" i="6"/>
  <c r="B25" i="1" l="1"/>
  <c r="E26" i="8" l="1"/>
  <c r="D26" i="8" l="1"/>
  <c r="G18" i="2"/>
  <c r="G16" i="2" l="1"/>
  <c r="G15" i="2"/>
  <c r="H2" i="2" l="1"/>
  <c r="G14" i="2"/>
  <c r="F19" i="2"/>
  <c r="G19" i="2"/>
  <c r="E45" i="6"/>
  <c r="F5" i="6"/>
  <c r="F3" i="6"/>
  <c r="D2" i="2" l="1"/>
  <c r="E2" i="2"/>
  <c r="C29" i="8" l="1"/>
  <c r="B5" i="8"/>
  <c r="B20" i="8"/>
  <c r="E27" i="8" l="1"/>
  <c r="E28" i="8"/>
  <c r="F18" i="2" l="1"/>
  <c r="F16" i="2" l="1"/>
  <c r="F15" i="2"/>
  <c r="F14" i="2" l="1"/>
  <c r="G2" i="2"/>
  <c r="F2" i="2"/>
  <c r="I33" i="10"/>
  <c r="H33" i="10"/>
  <c r="G33" i="10"/>
  <c r="F33" i="10"/>
  <c r="B33" i="10"/>
  <c r="S6" i="6" l="1"/>
  <c r="B2" i="10" l="1"/>
  <c r="B17" i="1"/>
  <c r="R18" i="6" l="1"/>
  <c r="R48" i="6" l="1"/>
  <c r="L19" i="6"/>
  <c r="E13" i="6"/>
  <c r="R5" i="6"/>
  <c r="E27" i="6"/>
  <c r="E33" i="6"/>
  <c r="R54" i="6"/>
  <c r="R12" i="6"/>
  <c r="R42" i="6"/>
  <c r="R30" i="6"/>
  <c r="E25" i="6" l="1"/>
  <c r="E51" i="6" s="1"/>
  <c r="R66" i="6"/>
  <c r="V24" i="6" l="1"/>
  <c r="E52" i="6"/>
  <c r="C2" i="1"/>
  <c r="D3" i="1" s="1"/>
  <c r="D27" i="8"/>
  <c r="E14" i="2"/>
  <c r="L52" i="6" l="1"/>
  <c r="C20" i="8"/>
  <c r="D14" i="2"/>
  <c r="E5" i="1" l="1"/>
  <c r="E6" i="1" l="1"/>
  <c r="E7" i="1"/>
  <c r="C19" i="9" l="1"/>
  <c r="B19" i="9"/>
  <c r="E19" i="9" l="1"/>
  <c r="E3" i="9"/>
  <c r="C8" i="9" l="1"/>
  <c r="B8" i="9"/>
  <c r="C16" i="1"/>
  <c r="B16" i="1"/>
  <c r="B4" i="9" s="1"/>
  <c r="C4" i="9" l="1"/>
  <c r="E4" i="9" s="1"/>
  <c r="B17" i="9"/>
  <c r="B21" i="9"/>
  <c r="C21" i="9"/>
  <c r="E7" i="9"/>
  <c r="E8" i="9"/>
  <c r="C17" i="9" l="1"/>
  <c r="E17" i="9" s="1"/>
  <c r="E21" i="9"/>
  <c r="C2" i="10" l="1"/>
  <c r="E2" i="10" l="1"/>
  <c r="A60" i="6"/>
  <c r="B9" i="9" l="1"/>
  <c r="B18" i="9" s="1"/>
  <c r="C9" i="9"/>
  <c r="C18" i="9" s="1"/>
  <c r="B38" i="4"/>
  <c r="B35" i="10"/>
  <c r="B40" i="4"/>
  <c r="B37" i="10"/>
  <c r="B39" i="4"/>
  <c r="B36" i="10"/>
  <c r="B37" i="4"/>
  <c r="B34" i="10"/>
  <c r="W34" i="6"/>
  <c r="X34" i="6"/>
  <c r="W33" i="6"/>
  <c r="W32" i="6"/>
  <c r="X33" i="6"/>
  <c r="Y34" i="6"/>
  <c r="W31" i="6"/>
  <c r="Y33" i="6"/>
  <c r="B42" i="4" l="1"/>
  <c r="I41" i="4" s="1"/>
  <c r="E18" i="9"/>
  <c r="E9" i="9"/>
  <c r="B39" i="10"/>
  <c r="I38" i="10" s="1"/>
  <c r="W30" i="6"/>
  <c r="B29" i="8" l="1"/>
  <c r="E29" i="8" s="1"/>
  <c r="D28" i="8"/>
  <c r="D29" i="8" l="1"/>
  <c r="E3" i="1" l="1"/>
  <c r="F3" i="1" s="1"/>
  <c r="A19" i="2"/>
  <c r="A18" i="2"/>
  <c r="A15" i="2"/>
  <c r="A16" i="2"/>
  <c r="A14" i="2"/>
  <c r="E19" i="2"/>
  <c r="D19" i="2"/>
  <c r="C19" i="2"/>
  <c r="B19" i="2"/>
  <c r="E18" i="2"/>
  <c r="D18" i="2"/>
  <c r="C18" i="2"/>
  <c r="B18" i="2"/>
  <c r="E16" i="2"/>
  <c r="D16" i="2"/>
  <c r="C16" i="2"/>
  <c r="B16" i="2"/>
  <c r="E15" i="2"/>
  <c r="D15" i="2"/>
  <c r="C15" i="2"/>
  <c r="B15" i="2"/>
  <c r="C14" i="2"/>
  <c r="B14" i="2"/>
  <c r="C1" i="8" l="1"/>
  <c r="B1" i="8"/>
  <c r="B1" i="10" l="1"/>
  <c r="C33" i="10" s="1"/>
  <c r="E3" i="6" l="1"/>
  <c r="B1" i="4"/>
  <c r="B54" i="6"/>
  <c r="B58" i="6" s="1"/>
  <c r="C25" i="1"/>
  <c r="B1" i="9" l="1"/>
  <c r="B15" i="9" s="1"/>
  <c r="B54" i="9" s="1"/>
  <c r="C36" i="4"/>
  <c r="C1" i="10"/>
  <c r="D33" i="10" s="1"/>
  <c r="B1" i="7"/>
  <c r="B15" i="7" s="1"/>
  <c r="B54" i="7" s="1"/>
  <c r="C1" i="4"/>
  <c r="C1" i="9" s="1"/>
  <c r="C15" i="9" s="1"/>
  <c r="C54" i="9" s="1"/>
  <c r="C54" i="6"/>
  <c r="C58" i="6" s="1"/>
  <c r="I3" i="6"/>
  <c r="L3" i="6" s="1"/>
  <c r="G3" i="6"/>
  <c r="J3" i="6" s="1"/>
  <c r="H3" i="6"/>
  <c r="K3" i="6" s="1"/>
  <c r="Q3" i="6"/>
  <c r="P3" i="6"/>
  <c r="S33" i="6" l="1"/>
  <c r="S32" i="6"/>
  <c r="S31" i="6"/>
  <c r="S34" i="6"/>
  <c r="T34" i="6"/>
  <c r="T32" i="6"/>
  <c r="T33" i="6"/>
  <c r="T31" i="6"/>
  <c r="C1" i="7"/>
  <c r="C15" i="7" s="1"/>
  <c r="C54" i="7" s="1"/>
  <c r="D36" i="4"/>
  <c r="C4" i="7" l="1"/>
  <c r="C7" i="7"/>
  <c r="C9" i="7"/>
  <c r="B9" i="7"/>
  <c r="B18" i="7" s="1"/>
  <c r="B7" i="7"/>
  <c r="B4" i="7"/>
  <c r="B17" i="7" s="1"/>
  <c r="R3" i="6"/>
  <c r="V3" i="6" s="1"/>
  <c r="Y3" i="6" s="1"/>
  <c r="T3" i="6"/>
  <c r="W3" i="6" s="1"/>
  <c r="U3" i="6"/>
  <c r="X3" i="6" s="1"/>
  <c r="J5" i="6"/>
  <c r="W5" i="6"/>
  <c r="T6" i="6"/>
  <c r="W6" i="6"/>
  <c r="F7" i="6"/>
  <c r="G7" i="6"/>
  <c r="J7" i="6"/>
  <c r="S7" i="6"/>
  <c r="T7" i="6"/>
  <c r="W7" i="6"/>
  <c r="F8" i="6"/>
  <c r="G8" i="6"/>
  <c r="J8" i="6"/>
  <c r="S8" i="6"/>
  <c r="T8" i="6"/>
  <c r="W8" i="6"/>
  <c r="F9" i="6"/>
  <c r="G9" i="6"/>
  <c r="J9" i="6"/>
  <c r="S9" i="6"/>
  <c r="T9" i="6"/>
  <c r="W9" i="6"/>
  <c r="F10" i="6"/>
  <c r="G10" i="6"/>
  <c r="J10" i="6"/>
  <c r="W12" i="6"/>
  <c r="F13" i="6"/>
  <c r="J13" i="6"/>
  <c r="S13" i="6"/>
  <c r="T13" i="6"/>
  <c r="W13" i="6"/>
  <c r="F14" i="6"/>
  <c r="G14" i="6"/>
  <c r="J14" i="6"/>
  <c r="S14" i="6"/>
  <c r="T14" i="6"/>
  <c r="W14" i="6"/>
  <c r="F15" i="6"/>
  <c r="G15" i="6"/>
  <c r="J15" i="6"/>
  <c r="S15" i="6"/>
  <c r="T15" i="6"/>
  <c r="W15" i="6"/>
  <c r="F16" i="6"/>
  <c r="G16" i="6"/>
  <c r="J16" i="6"/>
  <c r="S16" i="6"/>
  <c r="T16" i="6"/>
  <c r="W16" i="6"/>
  <c r="F17" i="6"/>
  <c r="G17" i="6"/>
  <c r="J17" i="6"/>
  <c r="W18" i="6"/>
  <c r="F19" i="6"/>
  <c r="J19" i="6"/>
  <c r="G20" i="6"/>
  <c r="J20" i="6"/>
  <c r="W20" i="6"/>
  <c r="X20" i="6"/>
  <c r="Y20" i="6"/>
  <c r="G21" i="6"/>
  <c r="J21" i="6"/>
  <c r="W21" i="6"/>
  <c r="X21" i="6"/>
  <c r="Y21" i="6"/>
  <c r="G22" i="6"/>
  <c r="J22" i="6"/>
  <c r="W22" i="6"/>
  <c r="X22" i="6"/>
  <c r="Y22" i="6"/>
  <c r="G23" i="6"/>
  <c r="J23" i="6"/>
  <c r="F25" i="6"/>
  <c r="J25" i="6"/>
  <c r="S25" i="6"/>
  <c r="T25" i="6"/>
  <c r="W25" i="6"/>
  <c r="S26" i="6"/>
  <c r="T26" i="6"/>
  <c r="W26" i="6"/>
  <c r="F27" i="6"/>
  <c r="J27" i="6"/>
  <c r="S27" i="6"/>
  <c r="T27" i="6"/>
  <c r="W27" i="6"/>
  <c r="F28" i="6"/>
  <c r="G28" i="6"/>
  <c r="J28" i="6"/>
  <c r="S28" i="6"/>
  <c r="T28" i="6"/>
  <c r="W28" i="6"/>
  <c r="F29" i="6"/>
  <c r="G29" i="6"/>
  <c r="J29" i="6"/>
  <c r="F30" i="6"/>
  <c r="G30" i="6"/>
  <c r="J30" i="6"/>
  <c r="W36" i="6"/>
  <c r="F31" i="6"/>
  <c r="G31" i="6"/>
  <c r="J31" i="6"/>
  <c r="S37" i="6"/>
  <c r="T37" i="6"/>
  <c r="W37" i="6"/>
  <c r="S38" i="6"/>
  <c r="T38" i="6"/>
  <c r="W38" i="6"/>
  <c r="F33" i="6"/>
  <c r="J33" i="6"/>
  <c r="S39" i="6"/>
  <c r="T39" i="6"/>
  <c r="W39" i="6"/>
  <c r="F34" i="6"/>
  <c r="G34" i="6"/>
  <c r="J34" i="6"/>
  <c r="S40" i="6"/>
  <c r="T40" i="6"/>
  <c r="W40" i="6"/>
  <c r="F35" i="6"/>
  <c r="G35" i="6"/>
  <c r="J35" i="6"/>
  <c r="F36" i="6"/>
  <c r="G36" i="6"/>
  <c r="J36" i="6"/>
  <c r="W42" i="6"/>
  <c r="F37" i="6"/>
  <c r="G37" i="6"/>
  <c r="J37" i="6"/>
  <c r="S43" i="6"/>
  <c r="T43" i="6"/>
  <c r="W43" i="6"/>
  <c r="S44" i="6"/>
  <c r="T44" i="6"/>
  <c r="W44" i="6"/>
  <c r="F39" i="6"/>
  <c r="J39" i="6"/>
  <c r="S45" i="6"/>
  <c r="T45" i="6"/>
  <c r="W45" i="6"/>
  <c r="F40" i="6"/>
  <c r="G40" i="6"/>
  <c r="J40" i="6"/>
  <c r="S46" i="6"/>
  <c r="T46" i="6"/>
  <c r="W46" i="6"/>
  <c r="F41" i="6"/>
  <c r="G41" i="6"/>
  <c r="J41" i="6"/>
  <c r="F42" i="6"/>
  <c r="G42" i="6"/>
  <c r="J42" i="6"/>
  <c r="W48" i="6"/>
  <c r="F43" i="6"/>
  <c r="G43" i="6"/>
  <c r="J43" i="6"/>
  <c r="S49" i="6"/>
  <c r="T49" i="6"/>
  <c r="W49" i="6"/>
  <c r="S50" i="6"/>
  <c r="T50" i="6"/>
  <c r="W50" i="6"/>
  <c r="F45" i="6"/>
  <c r="J45" i="6"/>
  <c r="S51" i="6"/>
  <c r="T51" i="6"/>
  <c r="W51" i="6"/>
  <c r="F46" i="6"/>
  <c r="G46" i="6"/>
  <c r="J46" i="6"/>
  <c r="S52" i="6"/>
  <c r="T52" i="6"/>
  <c r="W52" i="6"/>
  <c r="F47" i="6"/>
  <c r="G47" i="6"/>
  <c r="J47" i="6"/>
  <c r="F48" i="6"/>
  <c r="G48" i="6"/>
  <c r="J48" i="6"/>
  <c r="W54" i="6"/>
  <c r="F49" i="6"/>
  <c r="G49" i="6"/>
  <c r="J49" i="6"/>
  <c r="S55" i="6"/>
  <c r="T55" i="6"/>
  <c r="W55" i="6"/>
  <c r="S56" i="6"/>
  <c r="T56" i="6"/>
  <c r="W56" i="6"/>
  <c r="S57" i="6"/>
  <c r="T57" i="6"/>
  <c r="W57" i="6"/>
  <c r="S58" i="6"/>
  <c r="T58" i="6"/>
  <c r="W58" i="6"/>
  <c r="F7" i="1"/>
  <c r="F6" i="1"/>
  <c r="F5" i="1"/>
  <c r="C18" i="7" l="1"/>
  <c r="E18" i="7" s="1"/>
  <c r="E8" i="7"/>
  <c r="C17" i="7"/>
  <c r="E7" i="7"/>
  <c r="D7" i="1"/>
  <c r="C2" i="4"/>
  <c r="F4" i="1"/>
  <c r="D6" i="1"/>
  <c r="E9" i="7"/>
  <c r="E16" i="1"/>
  <c r="B21" i="7"/>
  <c r="D4" i="1"/>
  <c r="D5" i="1"/>
  <c r="C21" i="7"/>
  <c r="F51" i="6"/>
  <c r="G5" i="6"/>
  <c r="G19" i="6"/>
  <c r="G25" i="6"/>
  <c r="G33" i="6"/>
  <c r="G45" i="6"/>
  <c r="J51" i="6"/>
  <c r="G13" i="6"/>
  <c r="G27" i="6"/>
  <c r="G39" i="6"/>
  <c r="E4" i="7"/>
  <c r="B2" i="4"/>
  <c r="E2" i="4" l="1"/>
  <c r="E21" i="7"/>
  <c r="E17" i="7"/>
  <c r="G51" i="6"/>
  <c r="W61" i="6" l="1"/>
  <c r="W63" i="6"/>
  <c r="W62" i="6"/>
  <c r="W64" i="6"/>
  <c r="T61" i="6" l="1"/>
  <c r="S61" i="6"/>
  <c r="T62" i="6"/>
  <c r="T64" i="6"/>
  <c r="T63" i="6"/>
  <c r="S62" i="6"/>
  <c r="S64" i="6"/>
  <c r="S63" i="6"/>
  <c r="W60" i="6"/>
  <c r="S60" i="6" l="1"/>
  <c r="S30" i="6"/>
  <c r="T60" i="6"/>
  <c r="T30" i="6"/>
  <c r="T18" i="6"/>
  <c r="T48" i="6"/>
  <c r="W66" i="6"/>
  <c r="T36" i="6"/>
  <c r="T42" i="6"/>
  <c r="T5" i="6"/>
  <c r="T12" i="6"/>
  <c r="T54" i="6"/>
  <c r="S12" i="6"/>
  <c r="S36" i="6"/>
  <c r="S48" i="6"/>
  <c r="S18" i="6"/>
  <c r="S54" i="6"/>
  <c r="S5" i="6"/>
  <c r="S42" i="6"/>
  <c r="T66" i="6" l="1"/>
  <c r="S66" i="6"/>
  <c r="J52" i="6"/>
  <c r="C35" i="10" l="1"/>
  <c r="F35" i="10" s="1"/>
  <c r="I35" i="10" s="1"/>
  <c r="B3" i="10"/>
  <c r="B8" i="10"/>
  <c r="B4" i="10"/>
  <c r="B5" i="10"/>
  <c r="B57" i="9"/>
  <c r="K22" i="6"/>
  <c r="B6" i="9"/>
  <c r="B5" i="9"/>
  <c r="B7" i="10"/>
  <c r="C34" i="10"/>
  <c r="C36" i="10"/>
  <c r="B10" i="10"/>
  <c r="C37" i="10"/>
  <c r="B6" i="10"/>
  <c r="B55" i="9"/>
  <c r="B56" i="9"/>
  <c r="B58" i="9"/>
  <c r="B11" i="9"/>
  <c r="B2" i="9"/>
  <c r="K23" i="6"/>
  <c r="K31" i="6"/>
  <c r="X52" i="6"/>
  <c r="C37" i="4"/>
  <c r="H9" i="6"/>
  <c r="K7" i="6"/>
  <c r="K46" i="6"/>
  <c r="H46" i="6"/>
  <c r="X9" i="6"/>
  <c r="B6" i="8"/>
  <c r="B14" i="1"/>
  <c r="B58" i="7"/>
  <c r="X64" i="6"/>
  <c r="K28" i="6"/>
  <c r="K29" i="6"/>
  <c r="C40" i="4"/>
  <c r="K10" i="6"/>
  <c r="K17" i="6"/>
  <c r="X28" i="6"/>
  <c r="K37" i="6"/>
  <c r="K43" i="6"/>
  <c r="K49" i="6"/>
  <c r="X58" i="6"/>
  <c r="X16" i="6"/>
  <c r="X40" i="6"/>
  <c r="X46" i="6"/>
  <c r="K14" i="6"/>
  <c r="H14" i="6"/>
  <c r="K20" i="6"/>
  <c r="H20" i="6"/>
  <c r="H35" i="6"/>
  <c r="K34" i="6"/>
  <c r="H43" i="6"/>
  <c r="K40" i="6"/>
  <c r="X55" i="6"/>
  <c r="U58" i="6"/>
  <c r="B57" i="7"/>
  <c r="B13" i="1"/>
  <c r="X7" i="6"/>
  <c r="X14" i="6"/>
  <c r="K30" i="6"/>
  <c r="K36" i="6"/>
  <c r="K42" i="6"/>
  <c r="K48" i="6"/>
  <c r="X56" i="6"/>
  <c r="C38" i="4"/>
  <c r="F38" i="4" s="1"/>
  <c r="I38" i="4" s="1"/>
  <c r="K8" i="6"/>
  <c r="B8" i="8"/>
  <c r="K15" i="6"/>
  <c r="K21" i="6"/>
  <c r="X39" i="6"/>
  <c r="X45" i="6"/>
  <c r="X51" i="6"/>
  <c r="X63" i="6"/>
  <c r="B55" i="7"/>
  <c r="U7" i="6"/>
  <c r="X6" i="6"/>
  <c r="B11" i="1"/>
  <c r="X13" i="6"/>
  <c r="U13" i="6"/>
  <c r="X19" i="6"/>
  <c r="X25" i="6"/>
  <c r="X31" i="6"/>
  <c r="U40" i="6"/>
  <c r="X37" i="6"/>
  <c r="U45" i="6"/>
  <c r="X43" i="6"/>
  <c r="U49" i="6"/>
  <c r="X49" i="6"/>
  <c r="X61" i="6"/>
  <c r="U64" i="6"/>
  <c r="K9" i="6"/>
  <c r="C39" i="4"/>
  <c r="F39" i="4" s="1"/>
  <c r="I39" i="4" s="1"/>
  <c r="K16" i="6"/>
  <c r="X26" i="6"/>
  <c r="X32" i="6"/>
  <c r="X38" i="6"/>
  <c r="X44" i="6"/>
  <c r="X50" i="6"/>
  <c r="X62" i="6"/>
  <c r="X8" i="6"/>
  <c r="B9" i="8"/>
  <c r="B56" i="7"/>
  <c r="B12" i="1"/>
  <c r="X15" i="6"/>
  <c r="X27" i="6"/>
  <c r="K35" i="6"/>
  <c r="K41" i="6"/>
  <c r="K47" i="6"/>
  <c r="X57" i="6"/>
  <c r="B60" i="7" l="1"/>
  <c r="F59" i="7" s="1"/>
  <c r="N69" i="7" s="1"/>
  <c r="C44" i="4"/>
  <c r="F42" i="4" s="1"/>
  <c r="C42" i="4"/>
  <c r="F40" i="4"/>
  <c r="I40" i="4" s="1"/>
  <c r="F37" i="4"/>
  <c r="I37" i="4" s="1"/>
  <c r="F34" i="10"/>
  <c r="I34" i="10" s="1"/>
  <c r="B10" i="1"/>
  <c r="D54" i="6"/>
  <c r="B22" i="9"/>
  <c r="U8" i="6"/>
  <c r="H15" i="6"/>
  <c r="U15" i="6"/>
  <c r="H42" i="6"/>
  <c r="F36" i="10"/>
  <c r="I36" i="10" s="1"/>
  <c r="F37" i="10"/>
  <c r="I37" i="10" s="1"/>
  <c r="C39" i="10"/>
  <c r="H38" i="10" s="1"/>
  <c r="J46" i="10" s="1"/>
  <c r="B9" i="10"/>
  <c r="U62" i="6"/>
  <c r="H8" i="6"/>
  <c r="H21" i="6"/>
  <c r="U57" i="6"/>
  <c r="H41" i="6"/>
  <c r="U56" i="6"/>
  <c r="H48" i="6"/>
  <c r="H40" i="6"/>
  <c r="H47" i="6"/>
  <c r="U44" i="6"/>
  <c r="U61" i="6"/>
  <c r="U55" i="6"/>
  <c r="B16" i="9"/>
  <c r="B59" i="9"/>
  <c r="H49" i="6"/>
  <c r="B10" i="9"/>
  <c r="B10" i="8"/>
  <c r="U32" i="6"/>
  <c r="H36" i="6"/>
  <c r="H10" i="6"/>
  <c r="U6" i="6"/>
  <c r="U52" i="6"/>
  <c r="U51" i="6"/>
  <c r="H34" i="6"/>
  <c r="U9" i="6"/>
  <c r="U50" i="6"/>
  <c r="H16" i="6"/>
  <c r="B6" i="7"/>
  <c r="B15" i="1"/>
  <c r="U46" i="6"/>
  <c r="U37" i="6"/>
  <c r="X30" i="6"/>
  <c r="X12" i="6"/>
  <c r="B5" i="7"/>
  <c r="U63" i="6"/>
  <c r="B8" i="4"/>
  <c r="K33" i="6"/>
  <c r="U16" i="6"/>
  <c r="U28" i="6"/>
  <c r="B5" i="4"/>
  <c r="K45" i="6"/>
  <c r="B6" i="4"/>
  <c r="K5" i="6"/>
  <c r="B7" i="4"/>
  <c r="B12" i="4" s="1"/>
  <c r="K27" i="6"/>
  <c r="U38" i="6"/>
  <c r="U26" i="6"/>
  <c r="B11" i="8"/>
  <c r="X60" i="6"/>
  <c r="X48" i="6"/>
  <c r="U31" i="6"/>
  <c r="X18" i="6"/>
  <c r="B3" i="7"/>
  <c r="X5" i="6"/>
  <c r="H30" i="6"/>
  <c r="X54" i="6"/>
  <c r="B4" i="4"/>
  <c r="K39" i="6"/>
  <c r="K13" i="6"/>
  <c r="H28" i="6"/>
  <c r="B7" i="8"/>
  <c r="B2" i="8"/>
  <c r="H31" i="6"/>
  <c r="U43" i="6"/>
  <c r="X42" i="6"/>
  <c r="H29" i="6"/>
  <c r="U27" i="6"/>
  <c r="U33" i="6"/>
  <c r="U34" i="6"/>
  <c r="X36" i="6"/>
  <c r="U25" i="6"/>
  <c r="B3" i="8"/>
  <c r="U39" i="6"/>
  <c r="U14" i="6"/>
  <c r="B12" i="8"/>
  <c r="H22" i="6"/>
  <c r="K19" i="6"/>
  <c r="H37" i="6"/>
  <c r="H17" i="6"/>
  <c r="H7" i="6"/>
  <c r="H23" i="6"/>
  <c r="B18" i="8" l="1"/>
  <c r="B17" i="8"/>
  <c r="H41" i="4"/>
  <c r="M60" i="4" s="1"/>
  <c r="I42" i="4"/>
  <c r="B13" i="8"/>
  <c r="F2" i="10"/>
  <c r="F39" i="10"/>
  <c r="I39" i="10" s="1"/>
  <c r="U42" i="6"/>
  <c r="B20" i="9"/>
  <c r="B23" i="9" s="1"/>
  <c r="K25" i="6"/>
  <c r="B3" i="4"/>
  <c r="U36" i="6"/>
  <c r="U18" i="6"/>
  <c r="U54" i="6"/>
  <c r="B19" i="7"/>
  <c r="U48" i="6"/>
  <c r="B2" i="7"/>
  <c r="U30" i="6"/>
  <c r="B12" i="7"/>
  <c r="X66" i="6"/>
  <c r="B9" i="1"/>
  <c r="B11" i="7" s="1"/>
  <c r="B4" i="8"/>
  <c r="U5" i="6"/>
  <c r="U60" i="6"/>
  <c r="U12" i="6"/>
  <c r="B19" i="8" l="1"/>
  <c r="B9" i="4"/>
  <c r="K51" i="6"/>
  <c r="F3" i="9"/>
  <c r="F8" i="9"/>
  <c r="F21" i="9"/>
  <c r="F7" i="9"/>
  <c r="F4" i="9"/>
  <c r="F17" i="9"/>
  <c r="F19" i="9"/>
  <c r="F9" i="9"/>
  <c r="F18" i="9"/>
  <c r="U66" i="6"/>
  <c r="H25" i="6"/>
  <c r="B10" i="4"/>
  <c r="B2" i="1"/>
  <c r="H27" i="6"/>
  <c r="H19" i="6"/>
  <c r="H39" i="6"/>
  <c r="H33" i="6"/>
  <c r="H5" i="6"/>
  <c r="H13" i="6"/>
  <c r="H45" i="6"/>
  <c r="B10" i="7"/>
  <c r="B20" i="7" s="1"/>
  <c r="K52" i="6"/>
  <c r="B16" i="7"/>
  <c r="B18" i="1" l="1"/>
  <c r="F2" i="4"/>
  <c r="I12" i="4" s="1"/>
  <c r="H51" i="6"/>
  <c r="B23" i="7"/>
  <c r="F7" i="7" s="1"/>
  <c r="F4" i="7" l="1"/>
  <c r="J4" i="7" s="1"/>
  <c r="J7" i="7"/>
  <c r="F21" i="7"/>
  <c r="F9" i="7"/>
  <c r="J9" i="7" s="1"/>
  <c r="F8" i="7"/>
  <c r="J8" i="7" s="1"/>
  <c r="F17" i="7"/>
  <c r="F18" i="7"/>
  <c r="Y38" i="6" l="1"/>
  <c r="Y27" i="6"/>
  <c r="C55" i="9" l="1"/>
  <c r="C55" i="7"/>
  <c r="V6" i="6"/>
  <c r="C11" i="1"/>
  <c r="Y6" i="6"/>
  <c r="Y13" i="6"/>
  <c r="V14" i="6"/>
  <c r="Y19" i="6"/>
  <c r="C6" i="9"/>
  <c r="Y28" i="6"/>
  <c r="Y44" i="6"/>
  <c r="Y50" i="6"/>
  <c r="Y56" i="6"/>
  <c r="Y62" i="6"/>
  <c r="C57" i="7"/>
  <c r="C57" i="9"/>
  <c r="C13" i="1"/>
  <c r="Y7" i="6"/>
  <c r="Y14" i="6"/>
  <c r="Y25" i="6"/>
  <c r="Y31" i="6"/>
  <c r="Y39" i="6"/>
  <c r="Y45" i="6"/>
  <c r="Y51" i="6"/>
  <c r="Y57" i="6"/>
  <c r="Y64" i="6"/>
  <c r="C9" i="8"/>
  <c r="C56" i="9"/>
  <c r="C12" i="1"/>
  <c r="C56" i="7"/>
  <c r="Y8" i="6"/>
  <c r="V8" i="6"/>
  <c r="Y15" i="6"/>
  <c r="Y26" i="6"/>
  <c r="Y32" i="6"/>
  <c r="Y40" i="6"/>
  <c r="Y46" i="6"/>
  <c r="Y52" i="6"/>
  <c r="Y58" i="6"/>
  <c r="Y63" i="6"/>
  <c r="C11" i="9"/>
  <c r="C14" i="1"/>
  <c r="Y9" i="6"/>
  <c r="C2" i="9"/>
  <c r="C6" i="8"/>
  <c r="C58" i="9"/>
  <c r="C58" i="7"/>
  <c r="V9" i="6"/>
  <c r="Y16" i="6"/>
  <c r="C5" i="9"/>
  <c r="V32" i="6"/>
  <c r="Y37" i="6"/>
  <c r="Y43" i="6"/>
  <c r="V46" i="6"/>
  <c r="Y49" i="6"/>
  <c r="Y55" i="6"/>
  <c r="V58" i="6"/>
  <c r="Y61" i="6"/>
  <c r="V62" i="6"/>
  <c r="C60" i="7" l="1"/>
  <c r="D59" i="7" s="1"/>
  <c r="V15" i="6"/>
  <c r="V63" i="6"/>
  <c r="V64" i="6"/>
  <c r="L15" i="6"/>
  <c r="L21" i="6"/>
  <c r="L29" i="6"/>
  <c r="L35" i="6"/>
  <c r="L41" i="6"/>
  <c r="L47" i="6"/>
  <c r="V49" i="6"/>
  <c r="Y48" i="6"/>
  <c r="E58" i="9"/>
  <c r="E14" i="1"/>
  <c r="F14" i="1" s="1"/>
  <c r="V27" i="6"/>
  <c r="C15" i="1"/>
  <c r="C6" i="7"/>
  <c r="V50" i="6"/>
  <c r="V28" i="6"/>
  <c r="C3" i="7"/>
  <c r="Y18" i="6"/>
  <c r="E55" i="7"/>
  <c r="J67" i="7" s="1"/>
  <c r="C3" i="8"/>
  <c r="L16" i="6"/>
  <c r="L22" i="6"/>
  <c r="L30" i="6"/>
  <c r="L36" i="6"/>
  <c r="L42" i="6"/>
  <c r="L48" i="6"/>
  <c r="V55" i="6"/>
  <c r="Y54" i="6"/>
  <c r="V43" i="6"/>
  <c r="Y42" i="6"/>
  <c r="V38" i="6"/>
  <c r="Y36" i="6"/>
  <c r="V34" i="6"/>
  <c r="V33" i="6"/>
  <c r="D3" i="9"/>
  <c r="D19" i="9" s="1"/>
  <c r="C10" i="9"/>
  <c r="D7" i="9"/>
  <c r="E11" i="9"/>
  <c r="F11" i="9" s="1"/>
  <c r="D4" i="9"/>
  <c r="D17" i="9" s="1"/>
  <c r="D9" i="9"/>
  <c r="D18" i="9" s="1"/>
  <c r="D8" i="9"/>
  <c r="E56" i="7"/>
  <c r="V51" i="6"/>
  <c r="V39" i="6"/>
  <c r="Y30" i="6"/>
  <c r="E13" i="1"/>
  <c r="F13" i="1" s="1"/>
  <c r="V13" i="6"/>
  <c r="Y12" i="6"/>
  <c r="C5" i="7"/>
  <c r="C17" i="1"/>
  <c r="E17" i="1" s="1"/>
  <c r="C59" i="9"/>
  <c r="D58" i="9" s="1"/>
  <c r="E55" i="9"/>
  <c r="C3" i="10"/>
  <c r="L17" i="6"/>
  <c r="L23" i="6"/>
  <c r="L31" i="6"/>
  <c r="C7" i="10"/>
  <c r="C8" i="10"/>
  <c r="E8" i="10" s="1"/>
  <c r="F8" i="10" s="1"/>
  <c r="L37" i="6"/>
  <c r="L43" i="6"/>
  <c r="C4" i="10"/>
  <c r="C5" i="10"/>
  <c r="L49" i="6"/>
  <c r="V16" i="6"/>
  <c r="C16" i="9"/>
  <c r="E16" i="9" s="1"/>
  <c r="F16" i="9" s="1"/>
  <c r="E2" i="9"/>
  <c r="F2" i="9" s="1"/>
  <c r="D2" i="9"/>
  <c r="V52" i="6"/>
  <c r="V40" i="6"/>
  <c r="V26" i="6"/>
  <c r="E12" i="1"/>
  <c r="F12" i="1" s="1"/>
  <c r="V25" i="6"/>
  <c r="E57" i="9"/>
  <c r="V56" i="6"/>
  <c r="V44" i="6"/>
  <c r="E6" i="9"/>
  <c r="F6" i="9" s="1"/>
  <c r="D6" i="9"/>
  <c r="C10" i="1"/>
  <c r="D11" i="1" s="1"/>
  <c r="E11" i="1"/>
  <c r="F11" i="1" s="1"/>
  <c r="I16" i="6"/>
  <c r="L14" i="6"/>
  <c r="I14" i="6"/>
  <c r="I22" i="6"/>
  <c r="L20" i="6"/>
  <c r="I30" i="6"/>
  <c r="L28" i="6"/>
  <c r="I34" i="6"/>
  <c r="L34" i="6"/>
  <c r="I41" i="6"/>
  <c r="L40" i="6"/>
  <c r="L46" i="6"/>
  <c r="V61" i="6"/>
  <c r="Y60" i="6"/>
  <c r="V37" i="6"/>
  <c r="C22" i="9"/>
  <c r="E22" i="9" s="1"/>
  <c r="F22" i="9" s="1"/>
  <c r="E5" i="9"/>
  <c r="F5" i="9" s="1"/>
  <c r="D5" i="9"/>
  <c r="E58" i="7"/>
  <c r="E56" i="9"/>
  <c r="V57" i="6"/>
  <c r="V45" i="6"/>
  <c r="V31" i="6"/>
  <c r="E57" i="7"/>
  <c r="C12" i="8"/>
  <c r="V7" i="6"/>
  <c r="Y5" i="6"/>
  <c r="V48" i="6"/>
  <c r="C11" i="10" l="1"/>
  <c r="D57" i="7"/>
  <c r="C18" i="8"/>
  <c r="D14" i="1"/>
  <c r="D57" i="9"/>
  <c r="D56" i="9"/>
  <c r="D22" i="9"/>
  <c r="D55" i="9"/>
  <c r="I23" i="6"/>
  <c r="V42" i="6"/>
  <c r="I15" i="6"/>
  <c r="V5" i="6"/>
  <c r="V60" i="6"/>
  <c r="I42" i="6"/>
  <c r="V18" i="6"/>
  <c r="V12" i="6"/>
  <c r="C5" i="8"/>
  <c r="C7" i="8" s="1"/>
  <c r="C10" i="10"/>
  <c r="D37" i="10"/>
  <c r="L10" i="6"/>
  <c r="C6" i="10"/>
  <c r="C9" i="10" s="1"/>
  <c r="D40" i="4"/>
  <c r="L45" i="6"/>
  <c r="C5" i="4"/>
  <c r="D16" i="9"/>
  <c r="I49" i="6"/>
  <c r="E4" i="10"/>
  <c r="F4" i="10" s="1"/>
  <c r="E3" i="10"/>
  <c r="F3" i="10" s="1"/>
  <c r="K67" i="7"/>
  <c r="F56" i="7"/>
  <c r="K69" i="7" s="1"/>
  <c r="D55" i="7"/>
  <c r="E60" i="7"/>
  <c r="F60" i="7" s="1"/>
  <c r="D60" i="7"/>
  <c r="I10" i="6"/>
  <c r="L7" i="6"/>
  <c r="D34" i="10"/>
  <c r="G34" i="10" s="1"/>
  <c r="H34" i="10" s="1"/>
  <c r="D37" i="4"/>
  <c r="I7" i="6"/>
  <c r="K66" i="9"/>
  <c r="F56" i="9"/>
  <c r="K68" i="9" s="1"/>
  <c r="L27" i="6"/>
  <c r="C7" i="4"/>
  <c r="E10" i="1"/>
  <c r="F10" i="1" s="1"/>
  <c r="C2" i="7"/>
  <c r="D12" i="1"/>
  <c r="I31" i="6"/>
  <c r="D13" i="1"/>
  <c r="D21" i="9"/>
  <c r="E15" i="1"/>
  <c r="I29" i="6"/>
  <c r="L8" i="6"/>
  <c r="D35" i="10"/>
  <c r="C8" i="8"/>
  <c r="D38" i="4"/>
  <c r="C12" i="7"/>
  <c r="C9" i="1"/>
  <c r="D17" i="1" s="1"/>
  <c r="Y66" i="6"/>
  <c r="L67" i="7"/>
  <c r="F57" i="7"/>
  <c r="L69" i="7" s="1"/>
  <c r="D58" i="7"/>
  <c r="C8" i="4"/>
  <c r="E54" i="6"/>
  <c r="F54" i="6" s="1"/>
  <c r="L33" i="6"/>
  <c r="L13" i="6"/>
  <c r="E5" i="10"/>
  <c r="F5" i="10" s="1"/>
  <c r="I37" i="6"/>
  <c r="E7" i="10"/>
  <c r="F7" i="10" s="1"/>
  <c r="I17" i="6"/>
  <c r="J66" i="9"/>
  <c r="F55" i="9"/>
  <c r="J68" i="9" s="1"/>
  <c r="E5" i="7"/>
  <c r="F5" i="7" s="1"/>
  <c r="J5" i="7" s="1"/>
  <c r="E10" i="9"/>
  <c r="F10" i="9" s="1"/>
  <c r="D10" i="9"/>
  <c r="D20" i="9" s="1"/>
  <c r="C20" i="9"/>
  <c r="I48" i="6"/>
  <c r="I36" i="6"/>
  <c r="D36" i="10"/>
  <c r="G36" i="10" s="1"/>
  <c r="D39" i="4"/>
  <c r="L9" i="6"/>
  <c r="M67" i="7"/>
  <c r="F58" i="7"/>
  <c r="M69" i="7" s="1"/>
  <c r="I46" i="6"/>
  <c r="I40" i="6"/>
  <c r="L39" i="6"/>
  <c r="C4" i="4"/>
  <c r="I28" i="6"/>
  <c r="I20" i="6"/>
  <c r="L66" i="9"/>
  <c r="F57" i="9"/>
  <c r="L68" i="9" s="1"/>
  <c r="I43" i="6"/>
  <c r="E59" i="9"/>
  <c r="F59" i="9" s="1"/>
  <c r="D59" i="9"/>
  <c r="V30" i="6"/>
  <c r="D56" i="7"/>
  <c r="V36" i="6"/>
  <c r="V54" i="6"/>
  <c r="F55" i="7"/>
  <c r="J69" i="7" s="1"/>
  <c r="C19" i="7"/>
  <c r="E3" i="7"/>
  <c r="F3" i="7" s="1"/>
  <c r="J3" i="7" s="1"/>
  <c r="E6" i="7"/>
  <c r="F6" i="7" s="1"/>
  <c r="J6" i="7" s="1"/>
  <c r="M66" i="9"/>
  <c r="F58" i="9"/>
  <c r="M68" i="9" s="1"/>
  <c r="I47" i="6"/>
  <c r="I35" i="6"/>
  <c r="I21" i="6"/>
  <c r="G37" i="4" l="1"/>
  <c r="H37" i="4" s="1"/>
  <c r="D42" i="4"/>
  <c r="E38" i="4" s="1"/>
  <c r="V66" i="6"/>
  <c r="C12" i="4"/>
  <c r="E12" i="4" s="1"/>
  <c r="F12" i="4" s="1"/>
  <c r="I8" i="6"/>
  <c r="I9" i="6"/>
  <c r="D4" i="10"/>
  <c r="D3" i="10"/>
  <c r="C3" i="4"/>
  <c r="I25" i="6"/>
  <c r="L25" i="6"/>
  <c r="D16" i="1"/>
  <c r="E9" i="1"/>
  <c r="C11" i="7"/>
  <c r="D10" i="1"/>
  <c r="D39" i="10"/>
  <c r="E38" i="10" s="1"/>
  <c r="D23" i="9"/>
  <c r="G37" i="10"/>
  <c r="E4" i="4"/>
  <c r="F4" i="4" s="1"/>
  <c r="I14" i="4" s="1"/>
  <c r="G39" i="4"/>
  <c r="K58" i="4" s="1"/>
  <c r="C11" i="8"/>
  <c r="C13" i="8" s="1"/>
  <c r="G38" i="4"/>
  <c r="H38" i="4" s="1"/>
  <c r="C16" i="7"/>
  <c r="E2" i="7"/>
  <c r="F2" i="7" s="1"/>
  <c r="J2" i="7" s="1"/>
  <c r="E7" i="4"/>
  <c r="F7" i="4" s="1"/>
  <c r="I17" i="4" s="1"/>
  <c r="D8" i="10"/>
  <c r="E9" i="10"/>
  <c r="F9" i="10" s="1"/>
  <c r="D2" i="10"/>
  <c r="G40" i="4"/>
  <c r="E19" i="7"/>
  <c r="F19" i="7" s="1"/>
  <c r="C23" i="9"/>
  <c r="E20" i="9"/>
  <c r="F20" i="9" s="1"/>
  <c r="E22" i="7"/>
  <c r="F22" i="7" s="1"/>
  <c r="E8" i="4"/>
  <c r="D15" i="1"/>
  <c r="L5" i="6"/>
  <c r="C6" i="4"/>
  <c r="I5" i="6"/>
  <c r="E5" i="4"/>
  <c r="F5" i="4" s="1"/>
  <c r="I16" i="4" s="1"/>
  <c r="E6" i="10"/>
  <c r="F6" i="10" s="1"/>
  <c r="D6" i="10"/>
  <c r="H44" i="10"/>
  <c r="H36" i="10"/>
  <c r="H46" i="10" s="1"/>
  <c r="D7" i="10"/>
  <c r="D5" i="10"/>
  <c r="G35" i="10"/>
  <c r="C2" i="8"/>
  <c r="D11" i="9"/>
  <c r="C17" i="8" l="1"/>
  <c r="C19" i="8" s="1"/>
  <c r="L58" i="4"/>
  <c r="H40" i="4"/>
  <c r="L60" i="4" s="1"/>
  <c r="E41" i="4"/>
  <c r="G42" i="4"/>
  <c r="H42" i="4" s="1"/>
  <c r="E40" i="4"/>
  <c r="F8" i="4"/>
  <c r="I18" i="4" s="1"/>
  <c r="D9" i="7"/>
  <c r="D18" i="7" s="1"/>
  <c r="D3" i="7"/>
  <c r="D19" i="7" s="1"/>
  <c r="D2" i="7"/>
  <c r="D16" i="7" s="1"/>
  <c r="E37" i="4"/>
  <c r="E39" i="4"/>
  <c r="C4" i="8"/>
  <c r="D9" i="10"/>
  <c r="I44" i="10"/>
  <c r="H37" i="10"/>
  <c r="I46" i="10" s="1"/>
  <c r="E36" i="10"/>
  <c r="G39" i="10"/>
  <c r="K44" i="10" s="1"/>
  <c r="E35" i="10"/>
  <c r="E6" i="4"/>
  <c r="F6" i="4" s="1"/>
  <c r="I15" i="4" s="1"/>
  <c r="E16" i="7"/>
  <c r="F16" i="7" s="1"/>
  <c r="E3" i="4"/>
  <c r="F3" i="4" s="1"/>
  <c r="I13" i="4" s="1"/>
  <c r="C9" i="4"/>
  <c r="D12" i="4" s="1"/>
  <c r="I58" i="4"/>
  <c r="I60" i="4"/>
  <c r="G44" i="10"/>
  <c r="H35" i="10"/>
  <c r="G46" i="10" s="1"/>
  <c r="E34" i="10"/>
  <c r="C10" i="7"/>
  <c r="C20" i="7" s="1"/>
  <c r="D8" i="7"/>
  <c r="D7" i="7"/>
  <c r="E11" i="7"/>
  <c r="F11" i="7" s="1"/>
  <c r="D4" i="7"/>
  <c r="D17" i="7" s="1"/>
  <c r="D6" i="7"/>
  <c r="D5" i="7"/>
  <c r="C10" i="4"/>
  <c r="L51" i="6"/>
  <c r="I33" i="6"/>
  <c r="I19" i="6"/>
  <c r="I45" i="6"/>
  <c r="I13" i="6"/>
  <c r="I27" i="6"/>
  <c r="I39" i="6"/>
  <c r="E23" i="9"/>
  <c r="F23" i="9" s="1"/>
  <c r="J58" i="4"/>
  <c r="J60" i="4"/>
  <c r="H39" i="4"/>
  <c r="K60" i="4" s="1"/>
  <c r="E37" i="10"/>
  <c r="F44" i="10"/>
  <c r="F46" i="10"/>
  <c r="N58" i="4" l="1"/>
  <c r="D22" i="7"/>
  <c r="D21" i="7"/>
  <c r="E42" i="4"/>
  <c r="I51" i="6"/>
  <c r="E39" i="10"/>
  <c r="N60" i="4"/>
  <c r="E10" i="7"/>
  <c r="F10" i="7" s="1"/>
  <c r="J10" i="7" s="1"/>
  <c r="D10" i="7"/>
  <c r="D20" i="7" s="1"/>
  <c r="E9" i="4"/>
  <c r="F9" i="4" s="1"/>
  <c r="D2" i="4"/>
  <c r="D8" i="4"/>
  <c r="D5" i="4"/>
  <c r="D4" i="4"/>
  <c r="D7" i="4"/>
  <c r="E2" i="1"/>
  <c r="F2" i="1" s="1"/>
  <c r="C18" i="1"/>
  <c r="E18" i="1" s="1"/>
  <c r="D6" i="4"/>
  <c r="H39" i="10"/>
  <c r="K46" i="10" s="1"/>
  <c r="D3" i="4"/>
  <c r="E20" i="7" l="1"/>
  <c r="F20" i="7" s="1"/>
  <c r="C23" i="7"/>
  <c r="D11" i="7"/>
  <c r="D9" i="4"/>
  <c r="D23" i="7"/>
  <c r="E23" i="7" l="1"/>
  <c r="F23" i="7" s="1"/>
  <c r="S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GUERINVA</author>
    <author>Newten Dumanoir</author>
  </authors>
  <commentList>
    <comment ref="N6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GUERINVA:</t>
        </r>
        <r>
          <rPr>
            <sz val="8"/>
            <color indexed="81"/>
            <rFont val="Tahoma"/>
            <family val="2"/>
          </rPr>
          <t xml:space="preserve">
Divers produits techniques + reprises sur provisions</t>
        </r>
      </text>
    </comment>
    <comment ref="T71" authorId="1" shapeId="0" xr:uid="{F86A1AA9-C751-4D69-B203-0C47791E5937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pour note Sénat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Newten Dumanoir</author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+4,7% pour la synthèse</t>
        </r>
      </text>
    </comment>
  </commentList>
</comments>
</file>

<file path=xl/sharedStrings.xml><?xml version="1.0" encoding="utf-8"?>
<sst xmlns="http://schemas.openxmlformats.org/spreadsheetml/2006/main" count="379" uniqueCount="199">
  <si>
    <t>CHARGES</t>
  </si>
  <si>
    <t>dont prestations légales</t>
  </si>
  <si>
    <t>PRODUITS</t>
  </si>
  <si>
    <t>dont ITAF</t>
  </si>
  <si>
    <t>RESULTAT NET</t>
  </si>
  <si>
    <r>
      <t>ü</t>
    </r>
    <r>
      <rPr>
        <sz val="9"/>
        <rFont val="Arial"/>
        <family val="2"/>
      </rPr>
      <t xml:space="preserve"> maladie-maternité-invalidité-décès</t>
    </r>
  </si>
  <si>
    <r>
      <t>ü</t>
    </r>
    <r>
      <rPr>
        <sz val="9"/>
        <rFont val="Arial"/>
        <family val="2"/>
      </rPr>
      <t xml:space="preserve"> accident du travail et maladie professionnelle</t>
    </r>
  </si>
  <si>
    <r>
      <t>ü</t>
    </r>
    <r>
      <rPr>
        <sz val="9"/>
        <rFont val="Arial"/>
        <family val="2"/>
      </rPr>
      <t xml:space="preserve"> famille</t>
    </r>
  </si>
  <si>
    <r>
      <t>ü</t>
    </r>
    <r>
      <rPr>
        <sz val="9"/>
        <rFont val="Arial"/>
        <family val="2"/>
      </rPr>
      <t xml:space="preserve"> retraite</t>
    </r>
  </si>
  <si>
    <r>
      <t>ü</t>
    </r>
    <r>
      <rPr>
        <sz val="9"/>
        <rFont val="Arial"/>
        <family val="2"/>
      </rPr>
      <t xml:space="preserve"> maladie</t>
    </r>
  </si>
  <si>
    <t>Contribution à la croissance
 (en points)</t>
  </si>
  <si>
    <t>dont cotisations sociales</t>
  </si>
  <si>
    <r>
      <t xml:space="preserve">Régime des SA - Toutes branches
</t>
    </r>
    <r>
      <rPr>
        <b/>
        <i/>
        <sz val="9"/>
        <rFont val="Arial"/>
        <family val="2"/>
      </rPr>
      <t>Montants en millions d'euros</t>
    </r>
  </si>
  <si>
    <t>-</t>
  </si>
  <si>
    <t>TOTAL COMPENSATION MAL-MAT-INV-DEC</t>
  </si>
  <si>
    <t>TOTAL COMPENSATION AT-MP</t>
  </si>
  <si>
    <t>TOTAL COMPENSATION FAMILLE</t>
  </si>
  <si>
    <t>TOTAL COMPENSATION RETRAITE</t>
  </si>
  <si>
    <t>EVOLUTION DE LA POPULATION DE BENEFICIAIRES ET DE COTISANTS DU REGIME DES SALARIES AGRICOLES</t>
  </si>
  <si>
    <t>dont cotisations PEC Etat</t>
  </si>
  <si>
    <t>Prestations légales</t>
  </si>
  <si>
    <t>Autres charges</t>
  </si>
  <si>
    <t>Total CHARGES</t>
  </si>
  <si>
    <t>Cotisations sociales</t>
  </si>
  <si>
    <t>Autres produits</t>
  </si>
  <si>
    <t>Contributions Régime général</t>
  </si>
  <si>
    <t>Compensations des exonérations (Etat, ITAF)</t>
  </si>
  <si>
    <t>Compensation démographique</t>
  </si>
  <si>
    <t>Contribution Sociale Généralisée</t>
  </si>
  <si>
    <t>%</t>
  </si>
  <si>
    <t>Total PRODUITS</t>
  </si>
  <si>
    <t>TOTAL CONTRIB RG MAL-MAT-INV-DEC</t>
  </si>
  <si>
    <t>TOTAL CONTRIB RG AT-MP</t>
  </si>
  <si>
    <t>TOTAL CONTRIB RG FAMILLE</t>
  </si>
  <si>
    <t>TOTAL CONTRIB RG RETRAITE</t>
  </si>
  <si>
    <t>Réalisations</t>
  </si>
  <si>
    <t>Poids</t>
  </si>
  <si>
    <t>Evolutions</t>
  </si>
  <si>
    <t>PRESTATIONS SOCIALES (yc  prest extra,...)</t>
  </si>
  <si>
    <t>COTISATIONS SOCIALES (techniques + gestion)</t>
  </si>
  <si>
    <t>Prestations sociales</t>
  </si>
  <si>
    <t>Cotisations "Maladie"</t>
  </si>
  <si>
    <t>"Maladie-Maternité-Invalidité-Décès"</t>
  </si>
  <si>
    <t>Cotisations "Famille"</t>
  </si>
  <si>
    <t>Prestations sociales "AT-MP"</t>
  </si>
  <si>
    <t>Cotisations "AT"</t>
  </si>
  <si>
    <t>Prestations sociales "Famille"</t>
  </si>
  <si>
    <t>Cotisations "Vieillesse-Veuvage"</t>
  </si>
  <si>
    <t>Prestations sociales "Vieillesse-Veuvage"</t>
  </si>
  <si>
    <t>COTISATIONS PRISES EN CHARGE PAR L'ETAT</t>
  </si>
  <si>
    <t>CHARGES TECHNIQUES</t>
  </si>
  <si>
    <t>CSG</t>
  </si>
  <si>
    <t>CHARGES TECHNIQUES DIVERSES</t>
  </si>
  <si>
    <t>ITAF</t>
  </si>
  <si>
    <t>TOTAL CHARGES TECHNIQUES + DIVERSES</t>
  </si>
  <si>
    <t>CHARGES FINANCIERES</t>
  </si>
  <si>
    <t xml:space="preserve">Cotisations "Maladie" </t>
  </si>
  <si>
    <t>CHARGES EXCEPTIONNELLES</t>
  </si>
  <si>
    <t>PRODUITS FINANCIERS</t>
  </si>
  <si>
    <t>DOTATIONS AUX PROVISIONS</t>
  </si>
  <si>
    <t>PRODUITS DE GESTION COURANTE</t>
  </si>
  <si>
    <t>CHARGES DE GESTION COURANTE</t>
  </si>
  <si>
    <t>PRODUITS EXEPTIONNELS</t>
  </si>
  <si>
    <t>TOTAL DES CHARGES</t>
  </si>
  <si>
    <t>SOLDE</t>
  </si>
  <si>
    <t>AUTRES PRODUITS</t>
  </si>
  <si>
    <t>TOTAL DES PRODUITS</t>
  </si>
  <si>
    <t>Evol</t>
  </si>
  <si>
    <t>Contri croiss</t>
  </si>
  <si>
    <t>Prestations extra-légales</t>
  </si>
  <si>
    <t>Dotations aux provisions</t>
  </si>
  <si>
    <t>Gestion</t>
  </si>
  <si>
    <t>Charges techniques</t>
  </si>
  <si>
    <t>Charges financières</t>
  </si>
  <si>
    <t>Cotisations prises en charges par l'Etat</t>
  </si>
  <si>
    <t>Prise en charge de cotisations</t>
  </si>
  <si>
    <t>Prise en charge de prestations</t>
  </si>
  <si>
    <t>TOTAL PEC PREST MAL-MAT-INV-DEC</t>
  </si>
  <si>
    <t>TOTAL PEC PREST AT-MP</t>
  </si>
  <si>
    <t>TOTAL PEC PREST FAMILLE</t>
  </si>
  <si>
    <t>TOTAL PEC PREST RETRAITE</t>
  </si>
  <si>
    <t>TOTAL PEC COT MAL-MAT-INV-DEC</t>
  </si>
  <si>
    <t>TOTAL PEC COT AT-MP</t>
  </si>
  <si>
    <t>TOTAL PEC COT FAMILLE</t>
  </si>
  <si>
    <t>TOTAL PEC COT RETRAITE</t>
  </si>
  <si>
    <t>FAMILLE</t>
  </si>
  <si>
    <t>RETRAITE</t>
  </si>
  <si>
    <t>AT</t>
  </si>
  <si>
    <t>Bénéficiaires de pensions d'invalidité</t>
  </si>
  <si>
    <t>CHARGES MALADIE</t>
  </si>
  <si>
    <t>RECETTES MALADIE</t>
  </si>
  <si>
    <t>CHARGES RETRAITE</t>
  </si>
  <si>
    <t>RESULTAT MALADIE</t>
  </si>
  <si>
    <t>RECETTES RETRAITE</t>
  </si>
  <si>
    <t>RESULTAT RETRAITE</t>
  </si>
  <si>
    <t>CHARGES ATMP</t>
  </si>
  <si>
    <t>RECETTES ATMP</t>
  </si>
  <si>
    <t>RESULTAT ATMP</t>
  </si>
  <si>
    <t>CHARGES FAMILLE</t>
  </si>
  <si>
    <t>RECETTES FAMILLE</t>
  </si>
  <si>
    <t>RESULTAT FAMILLE</t>
  </si>
  <si>
    <t>CHARGES TOTALES</t>
  </si>
  <si>
    <t>RECETTES TOTALES</t>
  </si>
  <si>
    <t>RESULTAT NET TOTAL</t>
  </si>
  <si>
    <t>TOTAL CHARGES</t>
  </si>
  <si>
    <t>TOTAL PRODUITS</t>
  </si>
  <si>
    <t>Effectif en moyenne annuelle</t>
  </si>
  <si>
    <t xml:space="preserve">Bénéficiaires - maladie </t>
  </si>
  <si>
    <t>Bénéficiaires de pensions vieillesse</t>
  </si>
  <si>
    <t>Familles bénéficiaires de prestations familiales dans l'année</t>
  </si>
  <si>
    <t>Actifs cotisants au 1er juillet</t>
  </si>
  <si>
    <t>Maladie</t>
  </si>
  <si>
    <t>Retraite</t>
  </si>
  <si>
    <t>Famille</t>
  </si>
  <si>
    <t xml:space="preserve">TOTAL INTEGRATION RG </t>
  </si>
  <si>
    <t xml:space="preserve">Transferts d’équilibrage des soldes venant du Régime Général (RG)
(en millions d’euros)
</t>
  </si>
  <si>
    <t>Prise en charge de cotisations et prestations*</t>
  </si>
  <si>
    <t>Autres produits**</t>
  </si>
  <si>
    <t>MALADIE</t>
  </si>
  <si>
    <t>ATMP</t>
  </si>
  <si>
    <t>Verif fichier CU</t>
  </si>
  <si>
    <t>CONTRIBUTION RG</t>
  </si>
  <si>
    <t>AUTRES TRANSFERTS ENTRE ORGANISMES (dont CDV)</t>
  </si>
  <si>
    <t>2017/2016</t>
  </si>
  <si>
    <t>Evolution en 2017
(en %)</t>
  </si>
  <si>
    <t>Contribution à l'évolution en 2017
(en points)</t>
  </si>
  <si>
    <t>dont COMPENSATION DEMO</t>
  </si>
  <si>
    <t>TOTAL</t>
  </si>
  <si>
    <t>Total DEPENSES</t>
  </si>
  <si>
    <t>Total RECETTES</t>
  </si>
  <si>
    <t>2018/2017</t>
  </si>
  <si>
    <t>Cotisations prises en charge par l'Etat</t>
  </si>
  <si>
    <t>Tableau 3</t>
  </si>
  <si>
    <t>Contribution sociale généralisée</t>
  </si>
  <si>
    <t>Contributions du régime général</t>
  </si>
  <si>
    <t>2019/2018</t>
  </si>
  <si>
    <t>2020/2019</t>
  </si>
  <si>
    <t>autres charges</t>
  </si>
  <si>
    <t>Réalisation 2021</t>
  </si>
  <si>
    <t>2021/2020</t>
  </si>
  <si>
    <t>Prestations sociales SASPA</t>
  </si>
  <si>
    <t>Cotisations SASPA</t>
  </si>
  <si>
    <t>vérif</t>
  </si>
  <si>
    <r>
      <t>ü</t>
    </r>
    <r>
      <rPr>
        <sz val="9"/>
        <rFont val="Arial"/>
        <family val="2"/>
      </rPr>
      <t xml:space="preserve"> SASPA</t>
    </r>
  </si>
  <si>
    <t>SASPA</t>
  </si>
  <si>
    <t>Evol 2021/2020</t>
  </si>
  <si>
    <t>Contri croiss 2021</t>
  </si>
  <si>
    <t>CHARGES SASPA</t>
  </si>
  <si>
    <t>RECETTES SASPA</t>
  </si>
  <si>
    <t>RESULTAT SASPA</t>
  </si>
  <si>
    <t>TOTAL CONTRIB RG SASPA</t>
  </si>
  <si>
    <t>Prise en charge de cotisations et prestations</t>
  </si>
  <si>
    <t>COMPENS DEMO</t>
  </si>
  <si>
    <t>Réalisation 2022</t>
  </si>
  <si>
    <t>Structure 2022</t>
  </si>
  <si>
    <t>Evolution 2022/2021</t>
  </si>
  <si>
    <t>POPULATION DE BENEFICIAIRES ET DE COTISANTS DU REGIME DES SALARIES AGRICOLES DE 2015 A 2022</t>
  </si>
  <si>
    <t>2022/2021</t>
  </si>
  <si>
    <t>Charges techniques (-25,7%)</t>
  </si>
  <si>
    <t>Dotations aux provisions (-4,9%)</t>
  </si>
  <si>
    <t>Prestations extra-légales (+74,0%)</t>
  </si>
  <si>
    <t>Gestion (+1,2%)</t>
  </si>
  <si>
    <t>Charges financières (+72,7%)</t>
  </si>
  <si>
    <t>Autres charges (-100%)</t>
  </si>
  <si>
    <t>Prestations légales (+4,1%)</t>
  </si>
  <si>
    <t>Contri croiss 2022</t>
  </si>
  <si>
    <t>Evol 2022/2021</t>
  </si>
  <si>
    <t>Total hors SASPA (2021)</t>
  </si>
  <si>
    <t>Evolution en 2022
(en %)</t>
  </si>
  <si>
    <t>Contribution à l'évolution en 2022
(en points)</t>
  </si>
  <si>
    <t>Cotisations sociales (+3,2%)</t>
  </si>
  <si>
    <t>Contribution Sociale Généralisée  (+9,6%)</t>
  </si>
  <si>
    <t>Compensation démographique (-2,3%)</t>
  </si>
  <si>
    <t>Cotisations prises en charges par l'Etat (+8,5%)</t>
  </si>
  <si>
    <t>ITAF (-3,7%)</t>
  </si>
  <si>
    <t>Prise en charge de cotisations (-1,0%)</t>
  </si>
  <si>
    <t>Prise en charge de prestations (+19,9%)</t>
  </si>
  <si>
    <t>Contributions Régime général (-0,7%)</t>
  </si>
  <si>
    <t>Autres produits (+9,6%)</t>
  </si>
  <si>
    <r>
      <t xml:space="preserve">Evol </t>
    </r>
    <r>
      <rPr>
        <b/>
        <sz val="10"/>
        <rFont val="Arial"/>
        <family val="2"/>
      </rPr>
      <t xml:space="preserve">charges financières et autres charges </t>
    </r>
  </si>
  <si>
    <t>ok</t>
  </si>
  <si>
    <t>TOTAL PEC COT SASPA</t>
  </si>
  <si>
    <t>TOTAL PEC PREST SASPA</t>
  </si>
  <si>
    <t>Autres produits + ITAF</t>
  </si>
  <si>
    <t>Régime des salariés agricoles</t>
  </si>
  <si>
    <t xml:space="preserve"> </t>
  </si>
  <si>
    <t>Direction des Statistiques, des Etudes et des Fonds</t>
  </si>
  <si>
    <r>
      <t>Directrice de la publication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: Nadia JOUBERT</t>
    </r>
  </si>
  <si>
    <t>joubert.nadia@ccmsa.msa.fr</t>
  </si>
  <si>
    <t>Département Synthèse</t>
  </si>
  <si>
    <t>Responsable : David FOUCAUD</t>
  </si>
  <si>
    <t>foucaud.david@ccmsa.msa.fr</t>
  </si>
  <si>
    <t>Service Financement et gestion du risque</t>
  </si>
  <si>
    <t>Yannick SEVESTRE</t>
  </si>
  <si>
    <t>sevestre.yannick@ccmsa.msa.fr</t>
  </si>
  <si>
    <t>Auteure : Newten DUMANOIR</t>
  </si>
  <si>
    <t>dumanoir.newten@ccmsa.msa.fr</t>
  </si>
  <si>
    <t>Bilan démographique et financier en 2022</t>
  </si>
  <si>
    <t>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</si>
</sst>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&quot;-&quot;??\ _€_-;_-@_-"/>
    <numFmt numFmtId="165" formatCode="0.0"/>
    <numFmt numFmtId="166" formatCode="#,##0.0"/>
    <numFmt numFmtId="167" formatCode="0.0%"/>
    <numFmt numFmtId="168" formatCode="#,##0.0\ &quot;€&quot;"/>
    <numFmt numFmtId="169" formatCode="\+0.0%;\-0.0%;General"/>
    <numFmt numFmtId="170" formatCode="\+0.0;\-0.0;General"/>
    <numFmt numFmtId="171" formatCode="\+0.0%;\-0.0%"/>
    <numFmt numFmtId="172" formatCode="\+0.0;\-0.0"/>
    <numFmt numFmtId="173" formatCode="0.0_ ;\-0.0\ "/>
    <numFmt numFmtId="174" formatCode="\+0.00;\-0.00"/>
  </numFmts>
  <fonts count="7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Wingdings"/>
      <charset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10"/>
      <color indexed="4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8"/>
      <color indexed="10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4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rgb="FF00B050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7"/>
      <color theme="4" tint="-0.249977111117893"/>
      <name val="Arial"/>
      <family val="2"/>
    </font>
    <font>
      <sz val="10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sz val="10"/>
      <color rgb="FF92D050"/>
      <name val="Arial"/>
      <family val="2"/>
    </font>
    <font>
      <sz val="9"/>
      <color rgb="FF00B050"/>
      <name val="Arial"/>
      <family val="2"/>
    </font>
    <font>
      <b/>
      <i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8"/>
      <name val="Arial"/>
      <family val="2"/>
    </font>
    <font>
      <sz val="10"/>
      <color theme="8"/>
      <name val="Arial"/>
      <family val="2"/>
    </font>
    <font>
      <sz val="10"/>
      <color rgb="FFFF0000"/>
      <name val="Arial"/>
      <family val="2"/>
    </font>
    <font>
      <b/>
      <sz val="9"/>
      <color rgb="FFFFFF00"/>
      <name val="Arial"/>
      <family val="2"/>
    </font>
    <font>
      <i/>
      <sz val="9"/>
      <color theme="3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b/>
      <sz val="16"/>
      <color rgb="FF0070C0"/>
      <name val="Arial"/>
      <family val="2"/>
    </font>
    <font>
      <b/>
      <sz val="16"/>
      <color rgb="FF0000FF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color rgb="FF0070C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532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165" fontId="0" fillId="0" borderId="0" xfId="0" applyNumberFormat="1"/>
    <xf numFmtId="0" fontId="6" fillId="0" borderId="1" xfId="0" applyFont="1" applyBorder="1"/>
    <xf numFmtId="0" fontId="8" fillId="0" borderId="0" xfId="0" applyFont="1"/>
    <xf numFmtId="165" fontId="8" fillId="0" borderId="0" xfId="0" applyNumberFormat="1" applyFont="1"/>
    <xf numFmtId="0" fontId="6" fillId="0" borderId="3" xfId="0" applyFont="1" applyBorder="1"/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vertical="center"/>
    </xf>
    <xf numFmtId="0" fontId="9" fillId="0" borderId="0" xfId="0" applyFont="1"/>
    <xf numFmtId="165" fontId="9" fillId="0" borderId="0" xfId="0" applyNumberFormat="1" applyFont="1"/>
    <xf numFmtId="0" fontId="5" fillId="0" borderId="4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166" fontId="3" fillId="0" borderId="7" xfId="0" applyNumberFormat="1" applyFont="1" applyBorder="1" applyAlignment="1">
      <alignment horizontal="right" indent="1"/>
    </xf>
    <xf numFmtId="166" fontId="3" fillId="0" borderId="9" xfId="0" applyNumberFormat="1" applyFont="1" applyBorder="1" applyAlignment="1">
      <alignment horizontal="right" indent="1"/>
    </xf>
    <xf numFmtId="166" fontId="6" fillId="0" borderId="11" xfId="0" applyNumberFormat="1" applyFont="1" applyBorder="1" applyAlignment="1">
      <alignment horizontal="right" indent="1"/>
    </xf>
    <xf numFmtId="166" fontId="6" fillId="0" borderId="12" xfId="0" applyNumberFormat="1" applyFont="1" applyBorder="1" applyAlignment="1">
      <alignment horizontal="right" indent="1"/>
    </xf>
    <xf numFmtId="166" fontId="6" fillId="0" borderId="14" xfId="0" applyNumberFormat="1" applyFont="1" applyBorder="1" applyAlignment="1">
      <alignment horizontal="right" indent="1"/>
    </xf>
    <xf numFmtId="0" fontId="10" fillId="0" borderId="0" xfId="0" applyFont="1"/>
    <xf numFmtId="0" fontId="0" fillId="0" borderId="0" xfId="0" applyAlignment="1">
      <alignment vertical="center"/>
    </xf>
    <xf numFmtId="0" fontId="0" fillId="0" borderId="15" xfId="0" applyBorder="1"/>
    <xf numFmtId="167" fontId="3" fillId="0" borderId="0" xfId="0" applyNumberFormat="1" applyFont="1"/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right" indent="1"/>
    </xf>
    <xf numFmtId="0" fontId="5" fillId="0" borderId="21" xfId="0" applyFont="1" applyBorder="1" applyAlignment="1">
      <alignment horizontal="left" indent="1"/>
    </xf>
    <xf numFmtId="166" fontId="3" fillId="0" borderId="22" xfId="0" applyNumberFormat="1" applyFont="1" applyBorder="1" applyAlignment="1">
      <alignment horizontal="right" indent="1"/>
    </xf>
    <xf numFmtId="166" fontId="6" fillId="0" borderId="24" xfId="0" applyNumberFormat="1" applyFont="1" applyBorder="1" applyAlignment="1">
      <alignment horizontal="right" indent="1"/>
    </xf>
    <xf numFmtId="0" fontId="6" fillId="0" borderId="25" xfId="0" quotePrefix="1" applyFont="1" applyBorder="1" applyAlignment="1">
      <alignment horizontal="right" indent="1"/>
    </xf>
    <xf numFmtId="167" fontId="0" fillId="0" borderId="0" xfId="0" applyNumberFormat="1"/>
    <xf numFmtId="166" fontId="0" fillId="0" borderId="0" xfId="0" applyNumberFormat="1"/>
    <xf numFmtId="0" fontId="13" fillId="0" borderId="0" xfId="0" applyFont="1"/>
    <xf numFmtId="0" fontId="14" fillId="0" borderId="0" xfId="0" applyFont="1"/>
    <xf numFmtId="0" fontId="0" fillId="0" borderId="0" xfId="0" applyFill="1"/>
    <xf numFmtId="166" fontId="0" fillId="0" borderId="0" xfId="0" applyNumberFormat="1" applyFill="1"/>
    <xf numFmtId="0" fontId="18" fillId="0" borderId="0" xfId="0" applyFont="1" applyFill="1" applyBorder="1" applyAlignment="1">
      <alignment horizontal="centerContinuous"/>
    </xf>
    <xf numFmtId="166" fontId="19" fillId="0" borderId="0" xfId="0" quotePrefix="1" applyNumberFormat="1" applyFont="1" applyFill="1" applyBorder="1" applyAlignment="1">
      <alignment horizontal="centerContinuous" vertical="center"/>
    </xf>
    <xf numFmtId="166" fontId="20" fillId="0" borderId="0" xfId="0" quotePrefix="1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19" fillId="0" borderId="0" xfId="0" quotePrefix="1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19" fillId="0" borderId="0" xfId="0" quotePrefix="1" applyNumberFormat="1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3" fontId="19" fillId="0" borderId="0" xfId="0" quotePrefix="1" applyNumberFormat="1" applyFont="1" applyBorder="1" applyAlignment="1">
      <alignment horizontal="centerContinuous" vertical="center"/>
    </xf>
    <xf numFmtId="3" fontId="20" fillId="0" borderId="0" xfId="0" quotePrefix="1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22" fillId="0" borderId="0" xfId="0" applyFont="1" applyBorder="1"/>
    <xf numFmtId="0" fontId="23" fillId="0" borderId="0" xfId="0" applyFont="1" applyBorder="1"/>
    <xf numFmtId="0" fontId="10" fillId="0" borderId="0" xfId="0" applyFont="1" applyBorder="1"/>
    <xf numFmtId="3" fontId="24" fillId="0" borderId="0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1" fontId="6" fillId="4" borderId="15" xfId="0" applyNumberFormat="1" applyFont="1" applyFill="1" applyBorder="1" applyAlignment="1">
      <alignment horizontal="center" vertical="center"/>
    </xf>
    <xf numFmtId="1" fontId="25" fillId="4" borderId="15" xfId="0" applyNumberFormat="1" applyFont="1" applyFill="1" applyBorder="1" applyAlignment="1">
      <alignment horizontal="center" vertical="center"/>
    </xf>
    <xf numFmtId="1" fontId="26" fillId="0" borderId="15" xfId="1" applyNumberFormat="1" applyFont="1" applyFill="1" applyBorder="1" applyAlignment="1">
      <alignment horizontal="center" vertical="center"/>
    </xf>
    <xf numFmtId="1" fontId="27" fillId="0" borderId="15" xfId="1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0" fontId="25" fillId="4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26" xfId="0" applyFont="1" applyFill="1" applyBorder="1"/>
    <xf numFmtId="166" fontId="29" fillId="0" borderId="15" xfId="0" applyNumberFormat="1" applyFont="1" applyFill="1" applyBorder="1" applyAlignment="1">
      <alignment horizontal="center"/>
    </xf>
    <xf numFmtId="166" fontId="24" fillId="0" borderId="15" xfId="0" applyNumberFormat="1" applyFont="1" applyFill="1" applyBorder="1" applyAlignment="1">
      <alignment horizontal="center"/>
    </xf>
    <xf numFmtId="166" fontId="30" fillId="4" borderId="15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 horizontal="center"/>
    </xf>
    <xf numFmtId="167" fontId="26" fillId="0" borderId="15" xfId="1" applyNumberFormat="1" applyFont="1" applyFill="1" applyBorder="1" applyAlignment="1">
      <alignment horizontal="center"/>
    </xf>
    <xf numFmtId="167" fontId="27" fillId="0" borderId="15" xfId="1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5" fillId="0" borderId="6" xfId="0" applyNumberFormat="1" applyFont="1" applyBorder="1"/>
    <xf numFmtId="166" fontId="29" fillId="0" borderId="15" xfId="0" applyNumberFormat="1" applyFont="1" applyBorder="1" applyAlignment="1">
      <alignment horizontal="center"/>
    </xf>
    <xf numFmtId="166" fontId="24" fillId="0" borderId="15" xfId="0" applyNumberFormat="1" applyFont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167" fontId="31" fillId="0" borderId="15" xfId="0" applyNumberFormat="1" applyFont="1" applyBorder="1" applyAlignment="1">
      <alignment horizontal="center"/>
    </xf>
    <xf numFmtId="3" fontId="0" fillId="0" borderId="15" xfId="0" applyNumberFormat="1" applyBorder="1"/>
    <xf numFmtId="0" fontId="1" fillId="0" borderId="15" xfId="0" applyFont="1" applyBorder="1"/>
    <xf numFmtId="0" fontId="9" fillId="0" borderId="15" xfId="0" applyFont="1" applyBorder="1"/>
    <xf numFmtId="0" fontId="6" fillId="5" borderId="26" xfId="0" applyFont="1" applyFill="1" applyBorder="1"/>
    <xf numFmtId="166" fontId="25" fillId="4" borderId="15" xfId="0" applyNumberFormat="1" applyFont="1" applyFill="1" applyBorder="1"/>
    <xf numFmtId="167" fontId="32" fillId="5" borderId="15" xfId="0" applyNumberFormat="1" applyFont="1" applyFill="1" applyBorder="1" applyAlignment="1">
      <alignment horizontal="center"/>
    </xf>
    <xf numFmtId="167" fontId="33" fillId="5" borderId="15" xfId="0" applyNumberFormat="1" applyFont="1" applyFill="1" applyBorder="1" applyAlignment="1">
      <alignment horizontal="center"/>
    </xf>
    <xf numFmtId="167" fontId="32" fillId="5" borderId="15" xfId="1" applyNumberFormat="1" applyFont="1" applyFill="1" applyBorder="1" applyAlignment="1">
      <alignment horizontal="center"/>
    </xf>
    <xf numFmtId="167" fontId="33" fillId="5" borderId="15" xfId="1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3" fontId="6" fillId="5" borderId="27" xfId="0" applyNumberFormat="1" applyFont="1" applyFill="1" applyBorder="1"/>
    <xf numFmtId="167" fontId="34" fillId="5" borderId="15" xfId="0" applyNumberFormat="1" applyFont="1" applyFill="1" applyBorder="1" applyAlignment="1">
      <alignment horizontal="center"/>
    </xf>
    <xf numFmtId="167" fontId="35" fillId="5" borderId="15" xfId="0" applyNumberFormat="1" applyFont="1" applyFill="1" applyBorder="1" applyAlignment="1">
      <alignment horizontal="center"/>
    </xf>
    <xf numFmtId="167" fontId="34" fillId="5" borderId="15" xfId="1" applyNumberFormat="1" applyFont="1" applyFill="1" applyBorder="1" applyAlignment="1">
      <alignment horizontal="center"/>
    </xf>
    <xf numFmtId="167" fontId="35" fillId="5" borderId="15" xfId="1" applyNumberFormat="1" applyFont="1" applyFill="1" applyBorder="1" applyAlignment="1">
      <alignment horizontal="center"/>
    </xf>
    <xf numFmtId="0" fontId="32" fillId="0" borderId="0" xfId="0" applyFont="1"/>
    <xf numFmtId="0" fontId="6" fillId="0" borderId="26" xfId="0" applyFont="1" applyFill="1" applyBorder="1"/>
    <xf numFmtId="166" fontId="0" fillId="0" borderId="15" xfId="0" applyNumberFormat="1" applyFill="1" applyBorder="1"/>
    <xf numFmtId="167" fontId="26" fillId="0" borderId="15" xfId="0" applyNumberFormat="1" applyFont="1" applyFill="1" applyBorder="1" applyAlignment="1">
      <alignment horizontal="center"/>
    </xf>
    <xf numFmtId="167" fontId="27" fillId="0" borderId="15" xfId="0" applyNumberFormat="1" applyFont="1" applyFill="1" applyBorder="1" applyAlignment="1">
      <alignment horizontal="center"/>
    </xf>
    <xf numFmtId="10" fontId="26" fillId="0" borderId="0" xfId="0" applyNumberFormat="1" applyFont="1" applyFill="1" applyBorder="1" applyAlignment="1">
      <alignment horizontal="center"/>
    </xf>
    <xf numFmtId="3" fontId="5" fillId="0" borderId="27" xfId="0" applyNumberFormat="1" applyFont="1" applyBorder="1"/>
    <xf numFmtId="166" fontId="16" fillId="4" borderId="15" xfId="0" applyNumberFormat="1" applyFont="1" applyFill="1" applyBorder="1"/>
    <xf numFmtId="167" fontId="2" fillId="0" borderId="15" xfId="0" applyNumberFormat="1" applyFont="1" applyFill="1" applyBorder="1" applyAlignment="1">
      <alignment horizontal="center"/>
    </xf>
    <xf numFmtId="167" fontId="31" fillId="0" borderId="15" xfId="0" applyNumberFormat="1" applyFont="1" applyFill="1" applyBorder="1" applyAlignment="1">
      <alignment horizontal="center"/>
    </xf>
    <xf numFmtId="167" fontId="2" fillId="0" borderId="15" xfId="1" applyNumberFormat="1" applyFont="1" applyFill="1" applyBorder="1" applyAlignment="1">
      <alignment horizontal="center"/>
    </xf>
    <xf numFmtId="167" fontId="31" fillId="0" borderId="15" xfId="1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3" fontId="6" fillId="0" borderId="27" xfId="0" applyNumberFormat="1" applyFont="1" applyBorder="1"/>
    <xf numFmtId="3" fontId="16" fillId="4" borderId="15" xfId="0" applyNumberFormat="1" applyFont="1" applyFill="1" applyBorder="1"/>
    <xf numFmtId="10" fontId="32" fillId="0" borderId="0" xfId="0" applyNumberFormat="1" applyFont="1" applyFill="1" applyBorder="1" applyAlignment="1">
      <alignment horizontal="center"/>
    </xf>
    <xf numFmtId="3" fontId="6" fillId="0" borderId="27" xfId="0" applyNumberFormat="1" applyFont="1" applyFill="1" applyBorder="1"/>
    <xf numFmtId="165" fontId="16" fillId="4" borderId="15" xfId="0" applyNumberFormat="1" applyFont="1" applyFill="1" applyBorder="1"/>
    <xf numFmtId="0" fontId="19" fillId="0" borderId="0" xfId="0" applyFont="1"/>
    <xf numFmtId="10" fontId="24" fillId="0" borderId="0" xfId="0" applyNumberFormat="1" applyFont="1" applyFill="1" applyBorder="1" applyAlignment="1">
      <alignment horizontal="center"/>
    </xf>
    <xf numFmtId="0" fontId="24" fillId="0" borderId="0" xfId="0" applyFont="1"/>
    <xf numFmtId="167" fontId="32" fillId="0" borderId="15" xfId="0" applyNumberFormat="1" applyFont="1" applyFill="1" applyBorder="1" applyAlignment="1">
      <alignment horizontal="center"/>
    </xf>
    <xf numFmtId="167" fontId="33" fillId="0" borderId="15" xfId="0" applyNumberFormat="1" applyFont="1" applyFill="1" applyBorder="1" applyAlignment="1">
      <alignment horizontal="center"/>
    </xf>
    <xf numFmtId="167" fontId="32" fillId="0" borderId="15" xfId="1" applyNumberFormat="1" applyFont="1" applyFill="1" applyBorder="1" applyAlignment="1">
      <alignment horizontal="center"/>
    </xf>
    <xf numFmtId="167" fontId="33" fillId="0" borderId="15" xfId="1" applyNumberFormat="1" applyFont="1" applyFill="1" applyBorder="1" applyAlignment="1">
      <alignment horizontal="center"/>
    </xf>
    <xf numFmtId="9" fontId="32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32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6" fillId="6" borderId="15" xfId="0" applyFont="1" applyFill="1" applyBorder="1"/>
    <xf numFmtId="167" fontId="32" fillId="6" borderId="15" xfId="0" applyNumberFormat="1" applyFont="1" applyFill="1" applyBorder="1" applyAlignment="1">
      <alignment horizontal="center"/>
    </xf>
    <xf numFmtId="167" fontId="33" fillId="6" borderId="15" xfId="0" applyNumberFormat="1" applyFont="1" applyFill="1" applyBorder="1" applyAlignment="1">
      <alignment horizontal="center"/>
    </xf>
    <xf numFmtId="167" fontId="32" fillId="6" borderId="15" xfId="1" applyNumberFormat="1" applyFont="1" applyFill="1" applyBorder="1" applyAlignment="1">
      <alignment horizontal="center"/>
    </xf>
    <xf numFmtId="167" fontId="33" fillId="6" borderId="15" xfId="1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166" fontId="25" fillId="4" borderId="15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6" fontId="29" fillId="0" borderId="0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/>
    <xf numFmtId="0" fontId="11" fillId="0" borderId="0" xfId="0" applyFont="1" applyFill="1"/>
    <xf numFmtId="0" fontId="17" fillId="0" borderId="0" xfId="0" applyFont="1" applyFill="1"/>
    <xf numFmtId="166" fontId="3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6" fontId="0" fillId="0" borderId="0" xfId="0" applyNumberFormat="1" applyFill="1" applyBorder="1"/>
    <xf numFmtId="166" fontId="11" fillId="0" borderId="0" xfId="0" applyNumberFormat="1" applyFont="1" applyFill="1"/>
    <xf numFmtId="166" fontId="17" fillId="0" borderId="0" xfId="0" applyNumberFormat="1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67" fontId="34" fillId="0" borderId="15" xfId="0" applyNumberFormat="1" applyFont="1" applyFill="1" applyBorder="1" applyAlignment="1">
      <alignment horizontal="center"/>
    </xf>
    <xf numFmtId="167" fontId="35" fillId="0" borderId="15" xfId="0" applyNumberFormat="1" applyFont="1" applyFill="1" applyBorder="1" applyAlignment="1">
      <alignment horizontal="center"/>
    </xf>
    <xf numFmtId="167" fontId="34" fillId="0" borderId="15" xfId="1" applyNumberFormat="1" applyFont="1" applyFill="1" applyBorder="1" applyAlignment="1">
      <alignment horizontal="center"/>
    </xf>
    <xf numFmtId="167" fontId="35" fillId="0" borderId="15" xfId="1" applyNumberFormat="1" applyFont="1" applyFill="1" applyBorder="1" applyAlignment="1">
      <alignment horizontal="center"/>
    </xf>
    <xf numFmtId="3" fontId="6" fillId="6" borderId="28" xfId="0" applyNumberFormat="1" applyFont="1" applyFill="1" applyBorder="1"/>
    <xf numFmtId="167" fontId="34" fillId="6" borderId="15" xfId="0" applyNumberFormat="1" applyFont="1" applyFill="1" applyBorder="1" applyAlignment="1">
      <alignment horizontal="center"/>
    </xf>
    <xf numFmtId="167" fontId="34" fillId="6" borderId="15" xfId="1" applyNumberFormat="1" applyFont="1" applyFill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center"/>
    </xf>
    <xf numFmtId="167" fontId="3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/>
    <xf numFmtId="3" fontId="5" fillId="0" borderId="0" xfId="0" applyNumberFormat="1" applyFont="1" applyBorder="1"/>
    <xf numFmtId="3" fontId="6" fillId="0" borderId="0" xfId="0" applyNumberFormat="1" applyFont="1" applyBorder="1"/>
    <xf numFmtId="3" fontId="5" fillId="0" borderId="0" xfId="0" applyNumberFormat="1" applyFont="1"/>
    <xf numFmtId="3" fontId="16" fillId="0" borderId="0" xfId="0" applyNumberFormat="1" applyFont="1"/>
    <xf numFmtId="167" fontId="2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horizontal="center"/>
    </xf>
    <xf numFmtId="0" fontId="1" fillId="0" borderId="0" xfId="0" applyFont="1"/>
    <xf numFmtId="166" fontId="5" fillId="0" borderId="0" xfId="0" applyNumberFormat="1" applyFont="1" applyBorder="1"/>
    <xf numFmtId="167" fontId="5" fillId="0" borderId="0" xfId="0" applyNumberFormat="1" applyFont="1"/>
    <xf numFmtId="3" fontId="0" fillId="0" borderId="0" xfId="0" applyNumberFormat="1"/>
    <xf numFmtId="3" fontId="11" fillId="0" borderId="0" xfId="0" applyNumberFormat="1" applyFont="1"/>
    <xf numFmtId="3" fontId="17" fillId="0" borderId="0" xfId="0" applyNumberFormat="1" applyFont="1"/>
    <xf numFmtId="0" fontId="10" fillId="0" borderId="0" xfId="0" applyFont="1" applyFill="1"/>
    <xf numFmtId="166" fontId="10" fillId="0" borderId="0" xfId="0" applyNumberFormat="1" applyFont="1"/>
    <xf numFmtId="167" fontId="10" fillId="0" borderId="0" xfId="0" applyNumberFormat="1" applyFont="1"/>
    <xf numFmtId="165" fontId="10" fillId="0" borderId="0" xfId="0" applyNumberFormat="1" applyFont="1"/>
    <xf numFmtId="168" fontId="0" fillId="0" borderId="0" xfId="0" applyNumberFormat="1"/>
    <xf numFmtId="166" fontId="3" fillId="0" borderId="30" xfId="0" applyNumberFormat="1" applyFont="1" applyBorder="1" applyAlignment="1">
      <alignment horizontal="right" indent="1"/>
    </xf>
    <xf numFmtId="166" fontId="3" fillId="0" borderId="32" xfId="0" applyNumberFormat="1" applyFont="1" applyBorder="1" applyAlignment="1">
      <alignment horizontal="right" indent="1"/>
    </xf>
    <xf numFmtId="9" fontId="6" fillId="0" borderId="11" xfId="0" applyNumberFormat="1" applyFont="1" applyBorder="1" applyAlignment="1">
      <alignment horizontal="right" indent="1"/>
    </xf>
    <xf numFmtId="9" fontId="6" fillId="0" borderId="14" xfId="0" applyNumberFormat="1" applyFont="1" applyBorder="1" applyAlignment="1">
      <alignment horizontal="right" indent="1"/>
    </xf>
    <xf numFmtId="0" fontId="10" fillId="0" borderId="0" xfId="0" applyFont="1" applyAlignment="1">
      <alignment horizontal="center"/>
    </xf>
    <xf numFmtId="0" fontId="38" fillId="0" borderId="0" xfId="0" applyFont="1"/>
    <xf numFmtId="167" fontId="0" fillId="0" borderId="0" xfId="0" applyNumberFormat="1" applyFill="1"/>
    <xf numFmtId="166" fontId="30" fillId="0" borderId="15" xfId="0" applyNumberFormat="1" applyFont="1" applyFill="1" applyBorder="1" applyAlignment="1">
      <alignment horizontal="center"/>
    </xf>
    <xf numFmtId="1" fontId="26" fillId="0" borderId="15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/>
    </xf>
    <xf numFmtId="169" fontId="3" fillId="0" borderId="34" xfId="0" applyNumberFormat="1" applyFont="1" applyBorder="1" applyAlignment="1">
      <alignment horizontal="right" indent="1"/>
    </xf>
    <xf numFmtId="169" fontId="3" fillId="0" borderId="35" xfId="0" applyNumberFormat="1" applyFont="1" applyBorder="1" applyAlignment="1">
      <alignment horizontal="right" indent="1"/>
    </xf>
    <xf numFmtId="169" fontId="6" fillId="0" borderId="36" xfId="0" applyNumberFormat="1" applyFont="1" applyBorder="1" applyAlignment="1">
      <alignment horizontal="right" indent="1"/>
    </xf>
    <xf numFmtId="169" fontId="3" fillId="0" borderId="37" xfId="0" applyNumberFormat="1" applyFont="1" applyBorder="1" applyAlignment="1">
      <alignment horizontal="right" indent="1"/>
    </xf>
    <xf numFmtId="169" fontId="6" fillId="0" borderId="25" xfId="0" applyNumberFormat="1" applyFont="1" applyBorder="1" applyAlignment="1">
      <alignment horizontal="right" indent="1"/>
    </xf>
    <xf numFmtId="169" fontId="0" fillId="0" borderId="0" xfId="0" applyNumberFormat="1"/>
    <xf numFmtId="169" fontId="10" fillId="0" borderId="0" xfId="0" applyNumberFormat="1" applyFont="1"/>
    <xf numFmtId="0" fontId="0" fillId="9" borderId="0" xfId="0" applyFill="1"/>
    <xf numFmtId="166" fontId="0" fillId="9" borderId="0" xfId="0" applyNumberFormat="1" applyFill="1"/>
    <xf numFmtId="167" fontId="0" fillId="9" borderId="0" xfId="0" applyNumberFormat="1" applyFill="1"/>
    <xf numFmtId="165" fontId="0" fillId="9" borderId="0" xfId="0" applyNumberFormat="1" applyFill="1"/>
    <xf numFmtId="167" fontId="3" fillId="0" borderId="9" xfId="0" applyNumberFormat="1" applyFont="1" applyBorder="1" applyAlignment="1">
      <alignment horizontal="right" indent="1"/>
    </xf>
    <xf numFmtId="167" fontId="3" fillId="0" borderId="7" xfId="0" applyNumberFormat="1" applyFont="1" applyBorder="1" applyAlignment="1">
      <alignment horizontal="right" indent="1"/>
    </xf>
    <xf numFmtId="167" fontId="3" fillId="0" borderId="27" xfId="0" applyNumberFormat="1" applyFont="1" applyBorder="1" applyAlignment="1">
      <alignment horizontal="right" indent="1"/>
    </xf>
    <xf numFmtId="167" fontId="40" fillId="0" borderId="0" xfId="0" applyNumberFormat="1" applyFont="1"/>
    <xf numFmtId="170" fontId="3" fillId="0" borderId="8" xfId="0" applyNumberFormat="1" applyFont="1" applyBorder="1" applyAlignment="1">
      <alignment horizontal="right" indent="1"/>
    </xf>
    <xf numFmtId="170" fontId="3" fillId="0" borderId="10" xfId="0" applyNumberFormat="1" applyFont="1" applyBorder="1" applyAlignment="1">
      <alignment horizontal="right" indent="1"/>
    </xf>
    <xf numFmtId="170" fontId="6" fillId="0" borderId="13" xfId="0" quotePrefix="1" applyNumberFormat="1" applyFont="1" applyBorder="1" applyAlignment="1">
      <alignment horizontal="right" indent="1"/>
    </xf>
    <xf numFmtId="170" fontId="3" fillId="0" borderId="20" xfId="0" applyNumberFormat="1" applyFont="1" applyBorder="1" applyAlignment="1">
      <alignment horizontal="right" indent="1"/>
    </xf>
    <xf numFmtId="170" fontId="3" fillId="0" borderId="23" xfId="0" applyNumberFormat="1" applyFont="1" applyBorder="1" applyAlignment="1">
      <alignment horizontal="right" indent="1"/>
    </xf>
    <xf numFmtId="0" fontId="6" fillId="2" borderId="15" xfId="0" applyFont="1" applyFill="1" applyBorder="1" applyAlignment="1">
      <alignment wrapText="1"/>
    </xf>
    <xf numFmtId="0" fontId="6" fillId="2" borderId="15" xfId="0" applyFont="1" applyFill="1" applyBorder="1" applyAlignment="1">
      <alignment vertical="center"/>
    </xf>
    <xf numFmtId="0" fontId="10" fillId="0" borderId="15" xfId="0" applyFont="1" applyBorder="1" applyAlignment="1">
      <alignment horizontal="right"/>
    </xf>
    <xf numFmtId="166" fontId="0" fillId="0" borderId="15" xfId="0" applyNumberFormat="1" applyBorder="1"/>
    <xf numFmtId="166" fontId="10" fillId="0" borderId="15" xfId="0" applyNumberFormat="1" applyFont="1" applyBorder="1" applyAlignment="1">
      <alignment horizontal="right"/>
    </xf>
    <xf numFmtId="0" fontId="41" fillId="0" borderId="0" xfId="0" applyFont="1"/>
    <xf numFmtId="1" fontId="29" fillId="0" borderId="0" xfId="0" applyNumberFormat="1" applyFont="1" applyFill="1" applyBorder="1" applyAlignment="1">
      <alignment horizontal="center"/>
    </xf>
    <xf numFmtId="166" fontId="29" fillId="0" borderId="0" xfId="0" applyNumberFormat="1" applyFont="1" applyFill="1" applyBorder="1" applyAlignment="1">
      <alignment horizontal="left" indent="1"/>
    </xf>
    <xf numFmtId="166" fontId="42" fillId="0" borderId="0" xfId="0" applyNumberFormat="1" applyFont="1" applyFill="1" applyBorder="1" applyAlignment="1">
      <alignment horizontal="left" indent="1"/>
    </xf>
    <xf numFmtId="166" fontId="42" fillId="0" borderId="0" xfId="0" applyNumberFormat="1" applyFont="1" applyFill="1" applyAlignment="1">
      <alignment horizontal="left" indent="1"/>
    </xf>
    <xf numFmtId="1" fontId="10" fillId="0" borderId="0" xfId="0" applyNumberFormat="1" applyFont="1"/>
    <xf numFmtId="169" fontId="0" fillId="0" borderId="0" xfId="0" applyNumberFormat="1" applyFill="1"/>
    <xf numFmtId="165" fontId="0" fillId="0" borderId="0" xfId="0" applyNumberFormat="1" applyFill="1"/>
    <xf numFmtId="0" fontId="10" fillId="3" borderId="41" xfId="0" applyFont="1" applyFill="1" applyBorder="1" applyAlignment="1">
      <alignment vertical="center"/>
    </xf>
    <xf numFmtId="0" fontId="10" fillId="3" borderId="42" xfId="0" applyFont="1" applyFill="1" applyBorder="1" applyAlignment="1">
      <alignment horizontal="center" vertical="center"/>
    </xf>
    <xf numFmtId="0" fontId="1" fillId="0" borderId="43" xfId="0" applyFont="1" applyBorder="1"/>
    <xf numFmtId="3" fontId="3" fillId="0" borderId="15" xfId="0" applyNumberFormat="1" applyFont="1" applyBorder="1" applyAlignment="1">
      <alignment horizontal="right"/>
    </xf>
    <xf numFmtId="0" fontId="1" fillId="0" borderId="43" xfId="0" applyFont="1" applyBorder="1" applyAlignment="1">
      <alignment wrapText="1"/>
    </xf>
    <xf numFmtId="0" fontId="1" fillId="0" borderId="45" xfId="0" applyFont="1" applyBorder="1"/>
    <xf numFmtId="3" fontId="3" fillId="0" borderId="46" xfId="0" applyNumberFormat="1" applyFont="1" applyBorder="1" applyAlignment="1">
      <alignment horizontal="right"/>
    </xf>
    <xf numFmtId="0" fontId="0" fillId="10" borderId="29" xfId="0" applyFill="1" applyBorder="1"/>
    <xf numFmtId="3" fontId="3" fillId="10" borderId="29" xfId="0" applyNumberFormat="1" applyFont="1" applyFill="1" applyBorder="1" applyAlignment="1">
      <alignment horizontal="right"/>
    </xf>
    <xf numFmtId="0" fontId="1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horizontal="right" vertical="center"/>
    </xf>
    <xf numFmtId="169" fontId="3" fillId="0" borderId="15" xfId="0" applyNumberFormat="1" applyFont="1" applyBorder="1" applyAlignment="1">
      <alignment horizontal="right"/>
    </xf>
    <xf numFmtId="169" fontId="3" fillId="0" borderId="44" xfId="0" applyNumberFormat="1" applyFont="1" applyBorder="1" applyAlignment="1">
      <alignment horizontal="right"/>
    </xf>
    <xf numFmtId="169" fontId="3" fillId="0" borderId="46" xfId="0" applyNumberFormat="1" applyFont="1" applyBorder="1" applyAlignment="1">
      <alignment horizontal="right"/>
    </xf>
    <xf numFmtId="169" fontId="3" fillId="0" borderId="47" xfId="0" applyNumberFormat="1" applyFont="1" applyBorder="1" applyAlignment="1">
      <alignment horizontal="right"/>
    </xf>
    <xf numFmtId="169" fontId="3" fillId="10" borderId="29" xfId="0" applyNumberFormat="1" applyFont="1" applyFill="1" applyBorder="1" applyAlignment="1">
      <alignment horizontal="right"/>
    </xf>
    <xf numFmtId="0" fontId="42" fillId="0" borderId="0" xfId="0" applyFont="1"/>
    <xf numFmtId="0" fontId="4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/>
    <xf numFmtId="166" fontId="39" fillId="0" borderId="0" xfId="0" applyNumberFormat="1" applyFont="1"/>
    <xf numFmtId="165" fontId="39" fillId="0" borderId="0" xfId="0" applyNumberFormat="1" applyFont="1"/>
    <xf numFmtId="165" fontId="44" fillId="0" borderId="0" xfId="0" applyNumberFormat="1" applyFont="1"/>
    <xf numFmtId="170" fontId="0" fillId="9" borderId="0" xfId="0" applyNumberFormat="1" applyFill="1"/>
    <xf numFmtId="170" fontId="0" fillId="0" borderId="0" xfId="0" applyNumberFormat="1" applyFill="1"/>
    <xf numFmtId="170" fontId="10" fillId="0" borderId="0" xfId="0" applyNumberFormat="1" applyFont="1"/>
    <xf numFmtId="0" fontId="3" fillId="13" borderId="50" xfId="0" applyFont="1" applyFill="1" applyBorder="1" applyAlignment="1">
      <alignment vertical="center" wrapText="1"/>
    </xf>
    <xf numFmtId="0" fontId="3" fillId="14" borderId="50" xfId="0" applyFont="1" applyFill="1" applyBorder="1" applyAlignment="1">
      <alignment vertical="center" wrapText="1"/>
    </xf>
    <xf numFmtId="0" fontId="6" fillId="12" borderId="50" xfId="0" applyFont="1" applyFill="1" applyBorder="1" applyAlignment="1">
      <alignment horizontal="right" vertical="center" wrapText="1"/>
    </xf>
    <xf numFmtId="169" fontId="3" fillId="13" borderId="48" xfId="0" applyNumberFormat="1" applyFont="1" applyFill="1" applyBorder="1" applyAlignment="1">
      <alignment horizontal="right" vertical="center" wrapText="1"/>
    </xf>
    <xf numFmtId="169" fontId="6" fillId="12" borderId="48" xfId="0" applyNumberFormat="1" applyFont="1" applyFill="1" applyBorder="1" applyAlignment="1">
      <alignment horizontal="right" vertical="center" wrapText="1"/>
    </xf>
    <xf numFmtId="167" fontId="3" fillId="0" borderId="54" xfId="0" applyNumberFormat="1" applyFont="1" applyBorder="1" applyAlignment="1">
      <alignment horizontal="right" indent="1"/>
    </xf>
    <xf numFmtId="167" fontId="3" fillId="0" borderId="58" xfId="0" applyNumberFormat="1" applyFont="1" applyBorder="1" applyAlignment="1">
      <alignment horizontal="right" indent="1"/>
    </xf>
    <xf numFmtId="9" fontId="6" fillId="0" borderId="12" xfId="0" applyNumberFormat="1" applyFont="1" applyBorder="1" applyAlignment="1">
      <alignment horizontal="right" indent="1"/>
    </xf>
    <xf numFmtId="0" fontId="1" fillId="9" borderId="0" xfId="0" applyFont="1" applyFill="1"/>
    <xf numFmtId="0" fontId="1" fillId="0" borderId="0" xfId="0" applyFont="1" applyFill="1"/>
    <xf numFmtId="166" fontId="10" fillId="0" borderId="0" xfId="0" applyNumberFormat="1" applyFont="1" applyFill="1"/>
    <xf numFmtId="167" fontId="10" fillId="0" borderId="0" xfId="0" applyNumberFormat="1" applyFont="1" applyFill="1"/>
    <xf numFmtId="165" fontId="10" fillId="0" borderId="0" xfId="0" applyNumberFormat="1" applyFont="1" applyFill="1"/>
    <xf numFmtId="0" fontId="0" fillId="15" borderId="0" xfId="0" applyFill="1"/>
    <xf numFmtId="0" fontId="46" fillId="0" borderId="61" xfId="0" applyFont="1" applyBorder="1" applyAlignment="1">
      <alignment horizontal="right" indent="1"/>
    </xf>
    <xf numFmtId="0" fontId="3" fillId="0" borderId="18" xfId="0" applyFont="1" applyBorder="1" applyAlignment="1">
      <alignment horizontal="left" indent="1"/>
    </xf>
    <xf numFmtId="0" fontId="45" fillId="0" borderId="61" xfId="0" applyFont="1" applyBorder="1" applyAlignment="1">
      <alignment horizontal="right" indent="1"/>
    </xf>
    <xf numFmtId="172" fontId="0" fillId="9" borderId="0" xfId="0" applyNumberFormat="1" applyFill="1"/>
    <xf numFmtId="166" fontId="0" fillId="9" borderId="63" xfId="0" applyNumberFormat="1" applyFill="1" applyBorder="1"/>
    <xf numFmtId="166" fontId="0" fillId="0" borderId="63" xfId="0" applyNumberFormat="1" applyFill="1" applyBorder="1"/>
    <xf numFmtId="166" fontId="10" fillId="0" borderId="64" xfId="0" applyNumberFormat="1" applyFont="1" applyBorder="1"/>
    <xf numFmtId="0" fontId="10" fillId="0" borderId="65" xfId="0" applyFont="1" applyBorder="1"/>
    <xf numFmtId="0" fontId="10" fillId="0" borderId="66" xfId="0" applyFont="1" applyBorder="1"/>
    <xf numFmtId="169" fontId="0" fillId="9" borderId="67" xfId="0" applyNumberFormat="1" applyFill="1" applyBorder="1"/>
    <xf numFmtId="0" fontId="10" fillId="0" borderId="62" xfId="0" applyFont="1" applyBorder="1"/>
    <xf numFmtId="0" fontId="0" fillId="9" borderId="63" xfId="0" applyFill="1" applyBorder="1"/>
    <xf numFmtId="0" fontId="0" fillId="0" borderId="63" xfId="0" applyFill="1" applyBorder="1"/>
    <xf numFmtId="0" fontId="10" fillId="0" borderId="64" xfId="0" applyFont="1" applyBorder="1"/>
    <xf numFmtId="9" fontId="32" fillId="0" borderId="0" xfId="1" applyFont="1" applyFill="1" applyBorder="1" applyAlignment="1">
      <alignment horizontal="center"/>
    </xf>
    <xf numFmtId="9" fontId="0" fillId="0" borderId="0" xfId="1" applyFont="1"/>
    <xf numFmtId="167" fontId="0" fillId="9" borderId="63" xfId="0" applyNumberFormat="1" applyFill="1" applyBorder="1"/>
    <xf numFmtId="172" fontId="0" fillId="9" borderId="63" xfId="0" applyNumberFormat="1" applyFill="1" applyBorder="1"/>
    <xf numFmtId="172" fontId="0" fillId="0" borderId="63" xfId="0" applyNumberFormat="1" applyFill="1" applyBorder="1"/>
    <xf numFmtId="172" fontId="10" fillId="0" borderId="64" xfId="0" applyNumberFormat="1" applyFont="1" applyBorder="1"/>
    <xf numFmtId="0" fontId="1" fillId="9" borderId="63" xfId="0" applyFont="1" applyFill="1" applyBorder="1"/>
    <xf numFmtId="166" fontId="3" fillId="17" borderId="7" xfId="0" applyNumberFormat="1" applyFont="1" applyFill="1" applyBorder="1" applyAlignment="1">
      <alignment horizontal="right" indent="1"/>
    </xf>
    <xf numFmtId="169" fontId="6" fillId="17" borderId="33" xfId="0" applyNumberFormat="1" applyFont="1" applyFill="1" applyBorder="1" applyAlignment="1">
      <alignment horizontal="right" indent="1"/>
    </xf>
    <xf numFmtId="169" fontId="3" fillId="17" borderId="34" xfId="0" applyNumberFormat="1" applyFont="1" applyFill="1" applyBorder="1" applyAlignment="1">
      <alignment horizontal="right" indent="1"/>
    </xf>
    <xf numFmtId="170" fontId="3" fillId="17" borderId="8" xfId="0" applyNumberFormat="1" applyFont="1" applyFill="1" applyBorder="1" applyAlignment="1">
      <alignment horizontal="right" indent="1"/>
    </xf>
    <xf numFmtId="170" fontId="3" fillId="17" borderId="60" xfId="0" applyNumberFormat="1" applyFont="1" applyFill="1" applyBorder="1" applyAlignment="1">
      <alignment horizontal="right" indent="1"/>
    </xf>
    <xf numFmtId="170" fontId="3" fillId="17" borderId="56" xfId="0" applyNumberFormat="1" applyFont="1" applyFill="1" applyBorder="1" applyAlignment="1">
      <alignment horizontal="right" indent="1"/>
    </xf>
    <xf numFmtId="170" fontId="3" fillId="17" borderId="10" xfId="0" applyNumberFormat="1" applyFont="1" applyFill="1" applyBorder="1" applyAlignment="1">
      <alignment horizontal="right" indent="1"/>
    </xf>
    <xf numFmtId="0" fontId="6" fillId="17" borderId="2" xfId="0" applyFont="1" applyFill="1" applyBorder="1"/>
    <xf numFmtId="0" fontId="3" fillId="17" borderId="4" xfId="0" applyFont="1" applyFill="1" applyBorder="1" applyAlignment="1">
      <alignment horizontal="left" indent="1"/>
    </xf>
    <xf numFmtId="0" fontId="4" fillId="17" borderId="57" xfId="0" applyFont="1" applyFill="1" applyBorder="1" applyAlignment="1">
      <alignment horizontal="left" indent="2"/>
    </xf>
    <xf numFmtId="0" fontId="4" fillId="17" borderId="53" xfId="0" applyFont="1" applyFill="1" applyBorder="1" applyAlignment="1">
      <alignment horizontal="left" indent="2"/>
    </xf>
    <xf numFmtId="0" fontId="4" fillId="17" borderId="5" xfId="0" applyFont="1" applyFill="1" applyBorder="1" applyAlignment="1">
      <alignment horizontal="left" indent="2"/>
    </xf>
    <xf numFmtId="167" fontId="0" fillId="0" borderId="0" xfId="1" applyNumberFormat="1" applyFont="1"/>
    <xf numFmtId="1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166" fontId="0" fillId="0" borderId="0" xfId="0" applyNumberFormat="1" applyBorder="1"/>
    <xf numFmtId="167" fontId="0" fillId="0" borderId="0" xfId="0" applyNumberFormat="1" applyBorder="1"/>
    <xf numFmtId="165" fontId="0" fillId="0" borderId="0" xfId="0" applyNumberFormat="1" applyBorder="1"/>
    <xf numFmtId="0" fontId="10" fillId="0" borderId="0" xfId="0" applyFont="1" applyFill="1" applyBorder="1"/>
    <xf numFmtId="166" fontId="10" fillId="0" borderId="0" xfId="0" applyNumberFormat="1" applyFont="1" applyBorder="1"/>
    <xf numFmtId="167" fontId="10" fillId="0" borderId="0" xfId="0" applyNumberFormat="1" applyFont="1" applyBorder="1"/>
    <xf numFmtId="169" fontId="10" fillId="0" borderId="0" xfId="0" applyNumberFormat="1" applyFont="1" applyBorder="1"/>
    <xf numFmtId="165" fontId="10" fillId="0" borderId="0" xfId="0" applyNumberFormat="1" applyFont="1" applyBorder="1"/>
    <xf numFmtId="170" fontId="0" fillId="0" borderId="68" xfId="0" applyNumberFormat="1" applyFill="1" applyBorder="1"/>
    <xf numFmtId="170" fontId="0" fillId="9" borderId="68" xfId="0" applyNumberFormat="1" applyFill="1" applyBorder="1"/>
    <xf numFmtId="170" fontId="10" fillId="0" borderId="70" xfId="0" applyNumberFormat="1" applyFont="1" applyBorder="1"/>
    <xf numFmtId="0" fontId="1" fillId="0" borderId="63" xfId="0" applyFont="1" applyFill="1" applyBorder="1"/>
    <xf numFmtId="0" fontId="10" fillId="0" borderId="64" xfId="0" applyFont="1" applyFill="1" applyBorder="1"/>
    <xf numFmtId="0" fontId="48" fillId="0" borderId="0" xfId="0" applyFont="1"/>
    <xf numFmtId="0" fontId="48" fillId="0" borderId="0" xfId="0" applyFont="1" applyFill="1"/>
    <xf numFmtId="0" fontId="10" fillId="0" borderId="6" xfId="0" applyFont="1" applyBorder="1"/>
    <xf numFmtId="167" fontId="0" fillId="9" borderId="27" xfId="0" applyNumberFormat="1" applyFill="1" applyBorder="1"/>
    <xf numFmtId="167" fontId="0" fillId="0" borderId="27" xfId="0" applyNumberFormat="1" applyFill="1" applyBorder="1"/>
    <xf numFmtId="167" fontId="10" fillId="0" borderId="29" xfId="0" applyNumberFormat="1" applyFont="1" applyBorder="1"/>
    <xf numFmtId="166" fontId="0" fillId="9" borderId="27" xfId="0" applyNumberFormat="1" applyFill="1" applyBorder="1"/>
    <xf numFmtId="166" fontId="0" fillId="0" borderId="27" xfId="0" applyNumberFormat="1" applyFill="1" applyBorder="1"/>
    <xf numFmtId="166" fontId="10" fillId="0" borderId="29" xfId="0" applyNumberFormat="1" applyFont="1" applyBorder="1"/>
    <xf numFmtId="165" fontId="0" fillId="9" borderId="27" xfId="0" applyNumberFormat="1" applyFill="1" applyBorder="1"/>
    <xf numFmtId="165" fontId="0" fillId="0" borderId="27" xfId="0" applyNumberFormat="1" applyFill="1" applyBorder="1"/>
    <xf numFmtId="165" fontId="10" fillId="0" borderId="29" xfId="0" applyNumberFormat="1" applyFont="1" applyBorder="1"/>
    <xf numFmtId="0" fontId="48" fillId="0" borderId="63" xfId="0" applyFont="1" applyFill="1" applyBorder="1"/>
    <xf numFmtId="1" fontId="10" fillId="0" borderId="6" xfId="0" applyNumberFormat="1" applyFont="1" applyBorder="1"/>
    <xf numFmtId="166" fontId="0" fillId="0" borderId="27" xfId="0" applyNumberFormat="1" applyBorder="1"/>
    <xf numFmtId="169" fontId="0" fillId="9" borderId="27" xfId="0" applyNumberFormat="1" applyFill="1" applyBorder="1"/>
    <xf numFmtId="169" fontId="0" fillId="0" borderId="27" xfId="0" applyNumberFormat="1" applyFill="1" applyBorder="1"/>
    <xf numFmtId="169" fontId="0" fillId="0" borderId="27" xfId="0" applyNumberFormat="1" applyBorder="1"/>
    <xf numFmtId="169" fontId="10" fillId="0" borderId="29" xfId="0" applyNumberFormat="1" applyFont="1" applyBorder="1"/>
    <xf numFmtId="165" fontId="0" fillId="0" borderId="27" xfId="0" applyNumberFormat="1" applyBorder="1"/>
    <xf numFmtId="166" fontId="1" fillId="0" borderId="15" xfId="0" applyNumberFormat="1" applyFont="1" applyFill="1" applyBorder="1"/>
    <xf numFmtId="166" fontId="9" fillId="4" borderId="15" xfId="0" applyNumberFormat="1" applyFont="1" applyFill="1" applyBorder="1"/>
    <xf numFmtId="166" fontId="3" fillId="0" borderId="15" xfId="0" applyNumberFormat="1" applyFont="1" applyFill="1" applyBorder="1"/>
    <xf numFmtId="3" fontId="3" fillId="0" borderId="15" xfId="0" applyNumberFormat="1" applyFont="1" applyFill="1" applyBorder="1"/>
    <xf numFmtId="165" fontId="3" fillId="0" borderId="15" xfId="0" applyNumberFormat="1" applyFont="1" applyFill="1" applyBorder="1"/>
    <xf numFmtId="10" fontId="3" fillId="0" borderId="15" xfId="0" applyNumberFormat="1" applyFont="1" applyFill="1" applyBorder="1"/>
    <xf numFmtId="165" fontId="6" fillId="0" borderId="15" xfId="0" applyNumberFormat="1" applyFont="1" applyFill="1" applyBorder="1"/>
    <xf numFmtId="3" fontId="1" fillId="0" borderId="15" xfId="0" applyNumberFormat="1" applyFont="1" applyFill="1" applyBorder="1"/>
    <xf numFmtId="173" fontId="0" fillId="18" borderId="0" xfId="0" applyNumberFormat="1" applyFill="1" applyAlignment="1">
      <alignment horizontal="left"/>
    </xf>
    <xf numFmtId="170" fontId="3" fillId="0" borderId="48" xfId="2" applyNumberFormat="1" applyFont="1" applyFill="1" applyBorder="1" applyAlignment="1">
      <alignment horizontal="right" vertical="center" wrapText="1"/>
    </xf>
    <xf numFmtId="170" fontId="6" fillId="12" borderId="48" xfId="2" applyNumberFormat="1" applyFont="1" applyFill="1" applyBorder="1" applyAlignment="1">
      <alignment horizontal="right" vertical="center" wrapText="1"/>
    </xf>
    <xf numFmtId="164" fontId="3" fillId="0" borderId="0" xfId="2" applyFont="1"/>
    <xf numFmtId="165" fontId="48" fillId="0" borderId="0" xfId="0" applyNumberFormat="1" applyFont="1"/>
    <xf numFmtId="165" fontId="48" fillId="0" borderId="0" xfId="0" applyNumberFormat="1" applyFont="1" applyAlignment="1">
      <alignment horizontal="center"/>
    </xf>
    <xf numFmtId="166" fontId="52" fillId="4" borderId="15" xfId="0" applyNumberFormat="1" applyFont="1" applyFill="1" applyBorder="1"/>
    <xf numFmtId="167" fontId="53" fillId="0" borderId="15" xfId="0" applyNumberFormat="1" applyFont="1" applyFill="1" applyBorder="1" applyAlignment="1">
      <alignment horizontal="center"/>
    </xf>
    <xf numFmtId="166" fontId="54" fillId="4" borderId="15" xfId="0" applyNumberFormat="1" applyFont="1" applyFill="1" applyBorder="1"/>
    <xf numFmtId="166" fontId="54" fillId="9" borderId="15" xfId="0" applyNumberFormat="1" applyFont="1" applyFill="1" applyBorder="1"/>
    <xf numFmtId="166" fontId="25" fillId="8" borderId="15" xfId="0" applyNumberFormat="1" applyFont="1" applyFill="1" applyBorder="1"/>
    <xf numFmtId="166" fontId="25" fillId="19" borderId="15" xfId="0" applyNumberFormat="1" applyFont="1" applyFill="1" applyBorder="1"/>
    <xf numFmtId="165" fontId="9" fillId="0" borderId="0" xfId="0" applyNumberFormat="1" applyFont="1" applyFill="1"/>
    <xf numFmtId="165" fontId="38" fillId="0" borderId="0" xfId="0" applyNumberFormat="1" applyFont="1" applyFill="1"/>
    <xf numFmtId="165" fontId="13" fillId="0" borderId="0" xfId="0" applyNumberFormat="1" applyFont="1" applyFill="1"/>
    <xf numFmtId="165" fontId="14" fillId="0" borderId="0" xfId="0" applyNumberFormat="1" applyFont="1" applyFill="1"/>
    <xf numFmtId="0" fontId="0" fillId="20" borderId="0" xfId="0" applyFill="1"/>
    <xf numFmtId="166" fontId="0" fillId="20" borderId="0" xfId="0" applyNumberFormat="1" applyFill="1"/>
    <xf numFmtId="167" fontId="0" fillId="20" borderId="0" xfId="0" applyNumberFormat="1" applyFill="1"/>
    <xf numFmtId="169" fontId="0" fillId="20" borderId="0" xfId="0" applyNumberFormat="1" applyFill="1"/>
    <xf numFmtId="165" fontId="0" fillId="20" borderId="0" xfId="0" applyNumberFormat="1" applyFill="1"/>
    <xf numFmtId="166" fontId="3" fillId="21" borderId="9" xfId="0" applyNumberFormat="1" applyFont="1" applyFill="1" applyBorder="1" applyAlignment="1">
      <alignment horizontal="right" indent="1"/>
    </xf>
    <xf numFmtId="166" fontId="6" fillId="0" borderId="11" xfId="0" applyNumberFormat="1" applyFont="1" applyFill="1" applyBorder="1" applyAlignment="1">
      <alignment horizontal="right" indent="1"/>
    </xf>
    <xf numFmtId="167" fontId="3" fillId="17" borderId="7" xfId="0" applyNumberFormat="1" applyFont="1" applyFill="1" applyBorder="1" applyAlignment="1">
      <alignment horizontal="right" indent="1"/>
    </xf>
    <xf numFmtId="0" fontId="55" fillId="0" borderId="0" xfId="0" applyFont="1"/>
    <xf numFmtId="167" fontId="10" fillId="9" borderId="64" xfId="0" applyNumberFormat="1" applyFont="1" applyFill="1" applyBorder="1"/>
    <xf numFmtId="169" fontId="10" fillId="9" borderId="69" xfId="0" applyNumberFormat="1" applyFont="1" applyFill="1" applyBorder="1"/>
    <xf numFmtId="166" fontId="10" fillId="9" borderId="64" xfId="0" applyNumberFormat="1" applyFont="1" applyFill="1" applyBorder="1"/>
    <xf numFmtId="0" fontId="4" fillId="21" borderId="5" xfId="0" applyFont="1" applyFill="1" applyBorder="1" applyAlignment="1">
      <alignment horizontal="left" indent="2"/>
    </xf>
    <xf numFmtId="169" fontId="3" fillId="21" borderId="35" xfId="0" applyNumberFormat="1" applyFont="1" applyFill="1" applyBorder="1" applyAlignment="1">
      <alignment horizontal="right" indent="1"/>
    </xf>
    <xf numFmtId="170" fontId="3" fillId="21" borderId="10" xfId="0" applyNumberFormat="1" applyFont="1" applyFill="1" applyBorder="1" applyAlignment="1">
      <alignment horizontal="right" indent="1"/>
    </xf>
    <xf numFmtId="165" fontId="56" fillId="0" borderId="0" xfId="0" applyNumberFormat="1" applyFont="1"/>
    <xf numFmtId="167" fontId="57" fillId="0" borderId="0" xfId="0" applyNumberFormat="1" applyFont="1"/>
    <xf numFmtId="166" fontId="3" fillId="22" borderId="58" xfId="0" applyNumberFormat="1" applyFont="1" applyFill="1" applyBorder="1" applyAlignment="1">
      <alignment horizontal="right" indent="1"/>
    </xf>
    <xf numFmtId="0" fontId="3" fillId="0" borderId="26" xfId="0" applyFont="1" applyFill="1" applyBorder="1"/>
    <xf numFmtId="3" fontId="3" fillId="0" borderId="27" xfId="0" applyNumberFormat="1" applyFont="1" applyBorder="1"/>
    <xf numFmtId="166" fontId="16" fillId="0" borderId="15" xfId="0" applyNumberFormat="1" applyFont="1" applyFill="1" applyBorder="1"/>
    <xf numFmtId="0" fontId="55" fillId="9" borderId="0" xfId="0" applyFont="1" applyFill="1"/>
    <xf numFmtId="166" fontId="55" fillId="9" borderId="0" xfId="0" applyNumberFormat="1" applyFont="1" applyFill="1"/>
    <xf numFmtId="167" fontId="55" fillId="9" borderId="0" xfId="0" applyNumberFormat="1" applyFont="1" applyFill="1"/>
    <xf numFmtId="169" fontId="55" fillId="9" borderId="67" xfId="0" applyNumberFormat="1" applyFont="1" applyFill="1" applyBorder="1"/>
    <xf numFmtId="165" fontId="55" fillId="9" borderId="68" xfId="0" applyNumberFormat="1" applyFont="1" applyFill="1" applyBorder="1"/>
    <xf numFmtId="169" fontId="0" fillId="9" borderId="15" xfId="0" applyNumberFormat="1" applyFill="1" applyBorder="1"/>
    <xf numFmtId="169" fontId="0" fillId="0" borderId="15" xfId="0" applyNumberFormat="1" applyFill="1" applyBorder="1"/>
    <xf numFmtId="169" fontId="0" fillId="0" borderId="15" xfId="0" applyNumberFormat="1" applyBorder="1"/>
    <xf numFmtId="0" fontId="10" fillId="0" borderId="41" xfId="0" applyFont="1" applyBorder="1"/>
    <xf numFmtId="0" fontId="10" fillId="0" borderId="42" xfId="0" applyFont="1" applyBorder="1"/>
    <xf numFmtId="0" fontId="10" fillId="0" borderId="71" xfId="0" applyFont="1" applyBorder="1"/>
    <xf numFmtId="0" fontId="0" fillId="9" borderId="43" xfId="0" applyFill="1" applyBorder="1"/>
    <xf numFmtId="165" fontId="0" fillId="9" borderId="44" xfId="0" applyNumberFormat="1" applyFill="1" applyBorder="1"/>
    <xf numFmtId="0" fontId="0" fillId="0" borderId="43" xfId="0" applyFill="1" applyBorder="1"/>
    <xf numFmtId="0" fontId="0" fillId="0" borderId="43" xfId="0" applyBorder="1"/>
    <xf numFmtId="0" fontId="10" fillId="0" borderId="45" xfId="0" applyFont="1" applyBorder="1"/>
    <xf numFmtId="169" fontId="10" fillId="0" borderId="46" xfId="0" applyNumberFormat="1" applyFont="1" applyBorder="1"/>
    <xf numFmtId="165" fontId="10" fillId="0" borderId="47" xfId="0" applyNumberFormat="1" applyFont="1" applyBorder="1"/>
    <xf numFmtId="0" fontId="58" fillId="0" borderId="0" xfId="0" applyFont="1" applyAlignment="1">
      <alignment horizontal="right"/>
    </xf>
    <xf numFmtId="166" fontId="40" fillId="19" borderId="15" xfId="0" applyNumberFormat="1" applyFont="1" applyFill="1" applyBorder="1"/>
    <xf numFmtId="167" fontId="60" fillId="0" borderId="0" xfId="0" applyNumberFormat="1" applyFont="1"/>
    <xf numFmtId="0" fontId="60" fillId="9" borderId="0" xfId="0" applyFont="1" applyFill="1"/>
    <xf numFmtId="166" fontId="60" fillId="9" borderId="0" xfId="0" applyNumberFormat="1" applyFont="1" applyFill="1"/>
    <xf numFmtId="165" fontId="61" fillId="0" borderId="0" xfId="0" applyNumberFormat="1" applyFont="1" applyFill="1"/>
    <xf numFmtId="166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0" fillId="23" borderId="15" xfId="0" applyFont="1" applyFill="1" applyBorder="1" applyAlignment="1">
      <alignment horizontal="right"/>
    </xf>
    <xf numFmtId="166" fontId="10" fillId="23" borderId="15" xfId="0" applyNumberFormat="1" applyFont="1" applyFill="1" applyBorder="1" applyAlignment="1">
      <alignment horizontal="right"/>
    </xf>
    <xf numFmtId="166" fontId="0" fillId="0" borderId="72" xfId="0" applyNumberFormat="1" applyFill="1" applyBorder="1"/>
    <xf numFmtId="166" fontId="0" fillId="0" borderId="73" xfId="0" applyNumberFormat="1" applyFill="1" applyBorder="1"/>
    <xf numFmtId="166" fontId="0" fillId="9" borderId="73" xfId="0" applyNumberFormat="1" applyFill="1" applyBorder="1"/>
    <xf numFmtId="166" fontId="0" fillId="9" borderId="74" xfId="0" applyNumberFormat="1" applyFill="1" applyBorder="1"/>
    <xf numFmtId="167" fontId="0" fillId="0" borderId="72" xfId="0" applyNumberFormat="1" applyFill="1" applyBorder="1"/>
    <xf numFmtId="167" fontId="0" fillId="0" borderId="73" xfId="0" applyNumberFormat="1" applyFill="1" applyBorder="1"/>
    <xf numFmtId="167" fontId="0" fillId="9" borderId="73" xfId="0" applyNumberFormat="1" applyFill="1" applyBorder="1"/>
    <xf numFmtId="167" fontId="0" fillId="9" borderId="74" xfId="0" applyNumberFormat="1" applyFill="1" applyBorder="1"/>
    <xf numFmtId="169" fontId="0" fillId="0" borderId="72" xfId="0" applyNumberFormat="1" applyFill="1" applyBorder="1"/>
    <xf numFmtId="169" fontId="0" fillId="0" borderId="73" xfId="0" applyNumberFormat="1" applyFill="1" applyBorder="1"/>
    <xf numFmtId="169" fontId="0" fillId="9" borderId="73" xfId="0" applyNumberFormat="1" applyFill="1" applyBorder="1"/>
    <xf numFmtId="169" fontId="0" fillId="9" borderId="74" xfId="0" applyNumberFormat="1" applyFill="1" applyBorder="1"/>
    <xf numFmtId="169" fontId="0" fillId="24" borderId="0" xfId="0" applyNumberFormat="1" applyFill="1" applyBorder="1"/>
    <xf numFmtId="0" fontId="0" fillId="24" borderId="0" xfId="0" applyFill="1"/>
    <xf numFmtId="0" fontId="46" fillId="0" borderId="61" xfId="0" applyFont="1" applyBorder="1" applyAlignment="1">
      <alignment horizontal="center"/>
    </xf>
    <xf numFmtId="1" fontId="10" fillId="0" borderId="75" xfId="0" applyNumberFormat="1" applyFont="1" applyBorder="1"/>
    <xf numFmtId="166" fontId="0" fillId="9" borderId="28" xfId="0" applyNumberFormat="1" applyFill="1" applyBorder="1"/>
    <xf numFmtId="166" fontId="0" fillId="0" borderId="28" xfId="0" applyNumberFormat="1" applyFill="1" applyBorder="1"/>
    <xf numFmtId="166" fontId="0" fillId="0" borderId="28" xfId="0" applyNumberFormat="1" applyBorder="1"/>
    <xf numFmtId="166" fontId="10" fillId="0" borderId="76" xfId="0" applyNumberFormat="1" applyFont="1" applyBorder="1"/>
    <xf numFmtId="0" fontId="10" fillId="0" borderId="77" xfId="0" applyFont="1" applyBorder="1" applyAlignment="1">
      <alignment horizontal="center"/>
    </xf>
    <xf numFmtId="167" fontId="59" fillId="9" borderId="39" xfId="0" applyNumberFormat="1" applyFont="1" applyFill="1" applyBorder="1"/>
    <xf numFmtId="167" fontId="59" fillId="0" borderId="39" xfId="0" applyNumberFormat="1" applyFont="1" applyFill="1" applyBorder="1"/>
    <xf numFmtId="167" fontId="59" fillId="0" borderId="39" xfId="0" applyNumberFormat="1" applyFont="1" applyBorder="1"/>
    <xf numFmtId="167" fontId="59" fillId="0" borderId="78" xfId="0" applyNumberFormat="1" applyFont="1" applyBorder="1"/>
    <xf numFmtId="1" fontId="10" fillId="0" borderId="79" xfId="0" applyNumberFormat="1" applyFont="1" applyBorder="1"/>
    <xf numFmtId="166" fontId="0" fillId="9" borderId="80" xfId="0" applyNumberFormat="1" applyFill="1" applyBorder="1"/>
    <xf numFmtId="166" fontId="0" fillId="0" borderId="80" xfId="0" applyNumberFormat="1" applyFill="1" applyBorder="1"/>
    <xf numFmtId="166" fontId="0" fillId="0" borderId="80" xfId="0" applyNumberFormat="1" applyBorder="1"/>
    <xf numFmtId="166" fontId="10" fillId="0" borderId="81" xfId="0" applyNumberFormat="1" applyFont="1" applyBorder="1"/>
    <xf numFmtId="166" fontId="3" fillId="17" borderId="59" xfId="0" applyNumberFormat="1" applyFont="1" applyFill="1" applyBorder="1" applyAlignment="1">
      <alignment horizontal="right" indent="1"/>
    </xf>
    <xf numFmtId="166" fontId="10" fillId="0" borderId="74" xfId="0" applyNumberFormat="1" applyFont="1" applyFill="1" applyBorder="1"/>
    <xf numFmtId="167" fontId="10" fillId="0" borderId="74" xfId="0" applyNumberFormat="1" applyFont="1" applyFill="1" applyBorder="1"/>
    <xf numFmtId="172" fontId="0" fillId="0" borderId="72" xfId="0" applyNumberFormat="1" applyFill="1" applyBorder="1"/>
    <xf numFmtId="172" fontId="0" fillId="0" borderId="73" xfId="0" applyNumberFormat="1" applyFill="1" applyBorder="1"/>
    <xf numFmtId="172" fontId="0" fillId="9" borderId="73" xfId="0" applyNumberFormat="1" applyFill="1" applyBorder="1"/>
    <xf numFmtId="172" fontId="10" fillId="0" borderId="74" xfId="0" applyNumberFormat="1" applyFont="1" applyFill="1" applyBorder="1"/>
    <xf numFmtId="0" fontId="62" fillId="9" borderId="63" xfId="0" applyFont="1" applyFill="1" applyBorder="1"/>
    <xf numFmtId="166" fontId="62" fillId="9" borderId="0" xfId="0" applyNumberFormat="1" applyFont="1" applyFill="1"/>
    <xf numFmtId="166" fontId="62" fillId="9" borderId="63" xfId="0" applyNumberFormat="1" applyFont="1" applyFill="1" applyBorder="1"/>
    <xf numFmtId="167" fontId="62" fillId="9" borderId="0" xfId="0" applyNumberFormat="1" applyFont="1" applyFill="1"/>
    <xf numFmtId="169" fontId="62" fillId="9" borderId="67" xfId="0" applyNumberFormat="1" applyFont="1" applyFill="1" applyBorder="1"/>
    <xf numFmtId="170" fontId="62" fillId="9" borderId="68" xfId="0" applyNumberFormat="1" applyFont="1" applyFill="1" applyBorder="1"/>
    <xf numFmtId="0" fontId="62" fillId="0" borderId="0" xfId="0" applyFont="1" applyFill="1" applyBorder="1"/>
    <xf numFmtId="166" fontId="62" fillId="0" borderId="0" xfId="0" applyNumberFormat="1" applyFont="1" applyBorder="1"/>
    <xf numFmtId="167" fontId="62" fillId="0" borderId="0" xfId="0" applyNumberFormat="1" applyFont="1" applyBorder="1"/>
    <xf numFmtId="169" fontId="62" fillId="24" borderId="0" xfId="0" applyNumberFormat="1" applyFont="1" applyFill="1" applyBorder="1"/>
    <xf numFmtId="165" fontId="62" fillId="0" borderId="0" xfId="0" applyNumberFormat="1" applyFont="1" applyBorder="1"/>
    <xf numFmtId="174" fontId="0" fillId="15" borderId="0" xfId="0" applyNumberFormat="1" applyFill="1"/>
    <xf numFmtId="3" fontId="63" fillId="25" borderId="0" xfId="0" applyNumberFormat="1" applyFont="1" applyFill="1"/>
    <xf numFmtId="166" fontId="63" fillId="25" borderId="0" xfId="0" applyNumberFormat="1" applyFont="1" applyFill="1"/>
    <xf numFmtId="166" fontId="54" fillId="17" borderId="7" xfId="0" applyNumberFormat="1" applyFont="1" applyFill="1" applyBorder="1" applyAlignment="1">
      <alignment horizontal="right" indent="1"/>
    </xf>
    <xf numFmtId="166" fontId="54" fillId="22" borderId="54" xfId="0" applyNumberFormat="1" applyFont="1" applyFill="1" applyBorder="1" applyAlignment="1">
      <alignment horizontal="right" indent="1"/>
    </xf>
    <xf numFmtId="166" fontId="54" fillId="17" borderId="55" xfId="0" applyNumberFormat="1" applyFont="1" applyFill="1" applyBorder="1" applyAlignment="1">
      <alignment horizontal="right" indent="1"/>
    </xf>
    <xf numFmtId="166" fontId="54" fillId="22" borderId="9" xfId="0" applyNumberFormat="1" applyFont="1" applyFill="1" applyBorder="1" applyAlignment="1">
      <alignment horizontal="right" indent="1"/>
    </xf>
    <xf numFmtId="166" fontId="54" fillId="17" borderId="31" xfId="0" applyNumberFormat="1" applyFont="1" applyFill="1" applyBorder="1" applyAlignment="1">
      <alignment horizontal="right" indent="1"/>
    </xf>
    <xf numFmtId="166" fontId="54" fillId="22" borderId="27" xfId="0" applyNumberFormat="1" applyFont="1" applyFill="1" applyBorder="1" applyAlignment="1">
      <alignment horizontal="right" indent="1"/>
    </xf>
    <xf numFmtId="166" fontId="54" fillId="17" borderId="26" xfId="0" applyNumberFormat="1" applyFont="1" applyFill="1" applyBorder="1" applyAlignment="1">
      <alignment horizontal="right" indent="1"/>
    </xf>
    <xf numFmtId="3" fontId="3" fillId="15" borderId="15" xfId="0" applyNumberFormat="1" applyFont="1" applyFill="1" applyBorder="1" applyAlignment="1">
      <alignment horizontal="right"/>
    </xf>
    <xf numFmtId="3" fontId="3" fillId="15" borderId="44" xfId="0" applyNumberFormat="1" applyFont="1" applyFill="1" applyBorder="1" applyAlignment="1">
      <alignment horizontal="right"/>
    </xf>
    <xf numFmtId="3" fontId="3" fillId="15" borderId="47" xfId="0" applyNumberFormat="1" applyFont="1" applyFill="1" applyBorder="1" applyAlignment="1">
      <alignment horizontal="right"/>
    </xf>
    <xf numFmtId="3" fontId="3" fillId="15" borderId="46" xfId="0" applyNumberFormat="1" applyFont="1" applyFill="1" applyBorder="1" applyAlignment="1">
      <alignment horizontal="right"/>
    </xf>
    <xf numFmtId="3" fontId="3" fillId="15" borderId="15" xfId="0" applyNumberFormat="1" applyFont="1" applyFill="1" applyBorder="1" applyAlignment="1">
      <alignment horizontal="right" vertical="center"/>
    </xf>
    <xf numFmtId="3" fontId="64" fillId="0" borderId="0" xfId="0" applyNumberFormat="1" applyFont="1"/>
    <xf numFmtId="172" fontId="0" fillId="15" borderId="0" xfId="0" applyNumberFormat="1" applyFill="1"/>
    <xf numFmtId="167" fontId="39" fillId="26" borderId="0" xfId="1" applyNumberFormat="1" applyFont="1" applyFill="1"/>
    <xf numFmtId="165" fontId="0" fillId="0" borderId="44" xfId="0" applyNumberFormat="1" applyFill="1" applyBorder="1"/>
    <xf numFmtId="165" fontId="0" fillId="0" borderId="44" xfId="0" applyNumberFormat="1" applyBorder="1"/>
    <xf numFmtId="173" fontId="0" fillId="0" borderId="0" xfId="0" applyNumberFormat="1"/>
    <xf numFmtId="165" fontId="62" fillId="0" borderId="0" xfId="0" applyNumberFormat="1" applyFont="1" applyFill="1"/>
    <xf numFmtId="166" fontId="65" fillId="0" borderId="0" xfId="0" applyNumberFormat="1" applyFont="1" applyBorder="1"/>
    <xf numFmtId="172" fontId="0" fillId="23" borderId="0" xfId="0" applyNumberFormat="1" applyFill="1"/>
    <xf numFmtId="166" fontId="62" fillId="0" borderId="0" xfId="0" applyNumberFormat="1" applyFont="1" applyFill="1" applyBorder="1"/>
    <xf numFmtId="166" fontId="10" fillId="0" borderId="0" xfId="0" applyNumberFormat="1" applyFont="1" applyFill="1" applyBorder="1"/>
    <xf numFmtId="166" fontId="39" fillId="0" borderId="0" xfId="0" applyNumberFormat="1" applyFont="1" applyFill="1"/>
    <xf numFmtId="0" fontId="0" fillId="0" borderId="82" xfId="0" applyBorder="1"/>
    <xf numFmtId="0" fontId="0" fillId="0" borderId="83" xfId="0" applyBorder="1"/>
    <xf numFmtId="0" fontId="0" fillId="27" borderId="0" xfId="0" applyFill="1"/>
    <xf numFmtId="0" fontId="0" fillId="0" borderId="85" xfId="0" applyBorder="1"/>
    <xf numFmtId="0" fontId="0" fillId="0" borderId="86" xfId="0" applyBorder="1"/>
    <xf numFmtId="0" fontId="1" fillId="0" borderId="86" xfId="0" applyFont="1" applyBorder="1"/>
    <xf numFmtId="0" fontId="69" fillId="0" borderId="85" xfId="0" applyFont="1" applyBorder="1" applyAlignment="1">
      <alignment vertical="center"/>
    </xf>
    <xf numFmtId="0" fontId="72" fillId="0" borderId="85" xfId="3" applyFont="1" applyBorder="1" applyAlignment="1" applyProtection="1">
      <alignment vertical="center"/>
    </xf>
    <xf numFmtId="0" fontId="73" fillId="0" borderId="85" xfId="0" applyFont="1" applyBorder="1" applyAlignment="1">
      <alignment vertical="center"/>
    </xf>
    <xf numFmtId="0" fontId="66" fillId="0" borderId="85" xfId="3" applyBorder="1" applyAlignment="1" applyProtection="1">
      <alignment vertical="center"/>
    </xf>
    <xf numFmtId="0" fontId="1" fillId="0" borderId="85" xfId="3" applyFont="1" applyBorder="1" applyAlignment="1" applyProtection="1">
      <alignment vertical="center"/>
    </xf>
    <xf numFmtId="0" fontId="1" fillId="0" borderId="85" xfId="0" applyFont="1" applyBorder="1" applyAlignment="1">
      <alignment vertical="center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67" fillId="0" borderId="85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86" xfId="0" applyFont="1" applyBorder="1" applyAlignment="1">
      <alignment horizontal="center"/>
    </xf>
    <xf numFmtId="0" fontId="68" fillId="0" borderId="85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86" xfId="0" applyFont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66" fontId="10" fillId="4" borderId="28" xfId="0" applyNumberFormat="1" applyFont="1" applyFill="1" applyBorder="1" applyAlignment="1">
      <alignment horizontal="center"/>
    </xf>
    <xf numFmtId="166" fontId="10" fillId="4" borderId="38" xfId="0" applyNumberFormat="1" applyFont="1" applyFill="1" applyBorder="1" applyAlignment="1">
      <alignment horizontal="center"/>
    </xf>
    <xf numFmtId="166" fontId="0" fillId="4" borderId="38" xfId="0" applyNumberFormat="1" applyFill="1" applyBorder="1" applyAlignment="1"/>
    <xf numFmtId="166" fontId="0" fillId="0" borderId="39" xfId="0" applyNumberFormat="1" applyBorder="1" applyAlignment="1"/>
    <xf numFmtId="0" fontId="10" fillId="7" borderId="28" xfId="0" applyFont="1" applyFill="1" applyBorder="1" applyAlignment="1">
      <alignment horizontal="center"/>
    </xf>
    <xf numFmtId="0" fontId="10" fillId="7" borderId="38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3" fontId="10" fillId="2" borderId="15" xfId="0" applyNumberFormat="1" applyFont="1" applyFill="1" applyBorder="1" applyAlignment="1">
      <alignment horizontal="center"/>
    </xf>
    <xf numFmtId="3" fontId="10" fillId="2" borderId="16" xfId="0" applyNumberFormat="1" applyFont="1" applyFill="1" applyBorder="1" applyAlignment="1">
      <alignment horizontal="center"/>
    </xf>
    <xf numFmtId="3" fontId="10" fillId="2" borderId="40" xfId="0" applyNumberFormat="1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0" fillId="0" borderId="38" xfId="0" applyBorder="1" applyAlignment="1"/>
    <xf numFmtId="0" fontId="0" fillId="0" borderId="39" xfId="0" applyBorder="1" applyAlignment="1"/>
    <xf numFmtId="171" fontId="45" fillId="0" borderId="61" xfId="0" applyNumberFormat="1" applyFont="1" applyBorder="1" applyAlignment="1">
      <alignment horizontal="right" vertical="center" indent="1"/>
    </xf>
    <xf numFmtId="172" fontId="45" fillId="0" borderId="61" xfId="0" applyNumberFormat="1" applyFont="1" applyBorder="1" applyAlignment="1">
      <alignment horizontal="right" vertical="center" indent="1"/>
    </xf>
    <xf numFmtId="0" fontId="47" fillId="16" borderId="61" xfId="0" applyFont="1" applyFill="1" applyBorder="1" applyAlignment="1">
      <alignment horizontal="center" vertical="center" wrapText="1"/>
    </xf>
    <xf numFmtId="172" fontId="46" fillId="0" borderId="61" xfId="0" applyNumberFormat="1" applyFont="1" applyBorder="1" applyAlignment="1">
      <alignment horizontal="right" vertical="center" indent="1"/>
    </xf>
    <xf numFmtId="171" fontId="46" fillId="0" borderId="61" xfId="0" applyNumberFormat="1" applyFont="1" applyBorder="1" applyAlignment="1">
      <alignment horizontal="right" vertical="center" indent="1"/>
    </xf>
    <xf numFmtId="0" fontId="45" fillId="0" borderId="49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6" fillId="11" borderId="51" xfId="0" applyFont="1" applyFill="1" applyBorder="1" applyAlignment="1">
      <alignment horizontal="right" vertical="center" wrapText="1"/>
    </xf>
    <xf numFmtId="0" fontId="6" fillId="11" borderId="52" xfId="0" applyFont="1" applyFill="1" applyBorder="1" applyAlignment="1">
      <alignment horizontal="right" vertical="center" wrapText="1"/>
    </xf>
    <xf numFmtId="0" fontId="6" fillId="11" borderId="50" xfId="0" applyFont="1" applyFill="1" applyBorder="1" applyAlignment="1">
      <alignment horizontal="right" vertical="center" wrapText="1"/>
    </xf>
    <xf numFmtId="0" fontId="6" fillId="12" borderId="51" xfId="0" applyFont="1" applyFill="1" applyBorder="1" applyAlignment="1">
      <alignment horizontal="right" vertical="center" wrapText="1"/>
    </xf>
    <xf numFmtId="0" fontId="6" fillId="12" borderId="52" xfId="0" applyFont="1" applyFill="1" applyBorder="1" applyAlignment="1">
      <alignment horizontal="right" vertical="center" wrapText="1"/>
    </xf>
    <xf numFmtId="0" fontId="6" fillId="12" borderId="50" xfId="0" applyFont="1" applyFill="1" applyBorder="1" applyAlignment="1">
      <alignment horizontal="right" vertical="center" wrapText="1"/>
    </xf>
    <xf numFmtId="17" fontId="74" fillId="0" borderId="84" xfId="0" quotePrefix="1" applyNumberFormat="1" applyFont="1" applyBorder="1" applyAlignment="1">
      <alignment horizontal="right"/>
    </xf>
  </cellXfs>
  <cellStyles count="4">
    <cellStyle name="Lien hypertexte" xfId="3" builtinId="8"/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FFFCC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83F-45ED-AC11-F7811FED9100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3F-45ED-AC11-F7811FED9100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3F-45ED-AC11-F7811FED9100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3F-45ED-AC11-F7811FED9100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83F-45ED-AC11-F7811FED9100}"/>
              </c:ext>
            </c:extLst>
          </c:dPt>
          <c:dLbls>
            <c:dLbl>
              <c:idx val="0"/>
              <c:layout>
                <c:manualLayout>
                  <c:x val="-0.14375896762904636"/>
                  <c:y val="-0.2229965156794425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>
                        <a:solidFill>
                          <a:schemeClr val="bg1"/>
                        </a:solidFill>
                      </a:rPr>
                      <a:t>retraite
</a:t>
                    </a:r>
                    <a:r>
                      <a:rPr lang="en-US" sz="1200" b="1">
                        <a:solidFill>
                          <a:schemeClr val="bg1"/>
                        </a:solidFill>
                      </a:rPr>
                      <a:t>48,7%</a:t>
                    </a:r>
                    <a:endParaRPr lang="en-US" b="1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83F-45ED-AC11-F7811FED9100}"/>
                </c:ext>
              </c:extLst>
            </c:dLbl>
            <c:dLbl>
              <c:idx val="1"/>
              <c:layout>
                <c:manualLayout>
                  <c:x val="0.1579595363079615"/>
                  <c:y val="0.2227387617360991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>
                        <a:solidFill>
                          <a:schemeClr val="bg1"/>
                        </a:solidFill>
                      </a:rPr>
                      <a:t>maladie
</a:t>
                    </a:r>
                    <a:r>
                      <a:rPr lang="en-US" sz="1200" b="1">
                        <a:solidFill>
                          <a:schemeClr val="bg1"/>
                        </a:solidFill>
                      </a:rPr>
                      <a:t>37,4%</a:t>
                    </a:r>
                    <a:endParaRPr lang="en-US" b="1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83F-45ED-AC11-F7811FED9100}"/>
                </c:ext>
              </c:extLst>
            </c:dLbl>
            <c:dLbl>
              <c:idx val="2"/>
              <c:layout>
                <c:manualLayout>
                  <c:x val="7.7180664916884373E-3"/>
                  <c:y val="3.807727917505457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accen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famille
</a:t>
                    </a:r>
                    <a:r>
                      <a:rPr lang="en-US" sz="1200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4,7%</a:t>
                    </a:r>
                    <a:endParaRPr lang="en-US" b="1">
                      <a:solidFill>
                        <a:schemeClr val="accent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83F-45ED-AC11-F7811FED9100}"/>
                </c:ext>
              </c:extLst>
            </c:dLbl>
            <c:dLbl>
              <c:idx val="3"/>
              <c:layout>
                <c:manualLayout>
                  <c:x val="0.11636461067366589"/>
                  <c:y val="7.992525206193885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accen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ATMP
</a:t>
                    </a:r>
                    <a:r>
                      <a:rPr lang="en-US" sz="1200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4,3%</a:t>
                    </a:r>
                    <a:endParaRPr lang="en-US" b="1">
                      <a:solidFill>
                        <a:schemeClr val="accent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83F-45ED-AC11-F7811FED9100}"/>
                </c:ext>
              </c:extLst>
            </c:dLbl>
            <c:dLbl>
              <c:idx val="4"/>
              <c:layout>
                <c:manualLayout>
                  <c:x val="0.10771478565179342"/>
                  <c:y val="0.19253811720136924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ctr" rtl="0">
                      <a:defRPr lang="en-US" sz="1200" b="1" i="0" u="none" strike="noStrike" kern="1200" baseline="0">
                        <a:solidFill>
                          <a:schemeClr val="accen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0" i="0" u="none" strike="noStrike" kern="1200" baseline="0">
                        <a:solidFill>
                          <a:schemeClr val="accen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rPr>
                      <a:t>SASPA</a:t>
                    </a:r>
                    <a:r>
                      <a:rPr lang="en-US" sz="1200" b="1" i="0" u="none" strike="noStrike" kern="1200" baseline="0">
                        <a:solidFill>
                          <a:schemeClr val="accen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rPr>
                      <a:t>
</a:t>
                    </a:r>
                    <a:fld id="{739CF371-8C12-44C1-8B3A-D315A911ED5E}" type="VALUE">
                      <a:rPr lang="en-US" sz="1200" b="1" i="0" u="none" strike="noStrike" kern="1200" baseline="0">
                        <a:solidFill>
                          <a:schemeClr val="accen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1200" b="1">
                          <a:solidFill>
                            <a:schemeClr val="accent1">
                              <a:lumMod val="75000"/>
                            </a:schemeClr>
                          </a:solidFill>
                        </a:defRPr>
                      </a:pPr>
                      <a:t>[VALEUR]</a:t>
                    </a:fld>
                    <a:endParaRPr lang="en-US" sz="12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ctr" rtl="0">
                    <a:defRPr lang="en-US" sz="12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283F-45ED-AC11-F7811FED9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'SA1'!$A$4:$A$8</c:f>
              <c:strCache>
                <c:ptCount val="5"/>
                <c:pt idx="0">
                  <c:v>ü retraite</c:v>
                </c:pt>
                <c:pt idx="1">
                  <c:v>ü maladie-maternité-invalidité-décès</c:v>
                </c:pt>
                <c:pt idx="2">
                  <c:v>ü famille</c:v>
                </c:pt>
                <c:pt idx="3">
                  <c:v>ü accident du travail et maladie professionnelle</c:v>
                </c:pt>
                <c:pt idx="4">
                  <c:v>ü SASPA</c:v>
                </c:pt>
              </c:strCache>
            </c:strRef>
          </c:cat>
          <c:val>
            <c:numRef>
              <c:f>'SA1'!$D$4:$D$8</c:f>
              <c:numCache>
                <c:formatCode>0.0%</c:formatCode>
                <c:ptCount val="5"/>
                <c:pt idx="0">
                  <c:v>0.48571721812637508</c:v>
                </c:pt>
                <c:pt idx="1">
                  <c:v>0.37447209816841071</c:v>
                </c:pt>
                <c:pt idx="2">
                  <c:v>4.7469613608890897E-2</c:v>
                </c:pt>
                <c:pt idx="3">
                  <c:v>4.3253438898613439E-2</c:v>
                </c:pt>
                <c:pt idx="4">
                  <c:v>4.9087631197709987E-2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3F-45ED-AC11-F7811FED91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5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100">
                <a:solidFill>
                  <a:schemeClr val="accent1">
                    <a:lumMod val="50000"/>
                  </a:schemeClr>
                </a:solidFill>
              </a:rPr>
              <a:t>Principales contributions à l'évolution des recettes en 2022</a:t>
            </a:r>
          </a:p>
          <a:p>
            <a:pPr>
              <a:defRPr sz="11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100" b="0">
                <a:solidFill>
                  <a:schemeClr val="accent1">
                    <a:lumMod val="50000"/>
                  </a:schemeClr>
                </a:solidFill>
              </a:rPr>
              <a:t>(Total : </a:t>
            </a:r>
            <a:r>
              <a:rPr lang="fr-FR" sz="1100" b="0" baseline="0">
                <a:solidFill>
                  <a:schemeClr val="accent1">
                    <a:lumMod val="50000"/>
                  </a:schemeClr>
                </a:solidFill>
              </a:rPr>
              <a:t>+ 3,0 </a:t>
            </a:r>
            <a:r>
              <a:rPr lang="fr-FR" sz="1100" b="0">
                <a:solidFill>
                  <a:schemeClr val="accent1">
                    <a:lumMod val="50000"/>
                  </a:schemeClr>
                </a:solidFill>
              </a:rPr>
              <a:t>points)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75364623048943"/>
          <c:y val="0.18297153466472124"/>
          <c:w val="0.83293229579201333"/>
          <c:h val="0.50684549256659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'%produits'!$I$2</c:f>
              <c:strCache>
                <c:ptCount val="1"/>
                <c:pt idx="0">
                  <c:v>Cotisations sociales (+3,2%)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110-4DA5-B546-34EB2A1CC16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110-4DA5-B546-34EB2A1CC16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110-4DA5-B546-34EB2A1CC16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110-4DA5-B546-34EB2A1CC16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110-4DA5-B546-34EB2A1CC16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110-4DA5-B546-34EB2A1CC16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110-4DA5-B546-34EB2A1CC169}"/>
              </c:ext>
            </c:extLst>
          </c:dPt>
          <c:dLbls>
            <c:dLbl>
              <c:idx val="0"/>
              <c:layout>
                <c:manualLayout>
                  <c:x val="-1.7026904869519709E-3"/>
                  <c:y val="-3.7011843721866861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10-4DA5-B546-34EB2A1CC169}"/>
                </c:ext>
              </c:extLst>
            </c:dLbl>
            <c:spPr>
              <a:solidFill>
                <a:srgbClr val="4F81BD">
                  <a:lumMod val="20000"/>
                  <a:lumOff val="80000"/>
                </a:srgb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ctr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'%produits'!$J$2</c:f>
              <c:numCache>
                <c:formatCode>\+0.0;\-0.0</c:formatCode>
                <c:ptCount val="1"/>
                <c:pt idx="0">
                  <c:v>1.2186278871292957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10-4DA5-B546-34EB2A1CC169}"/>
            </c:ext>
          </c:extLst>
        </c:ser>
        <c:ser>
          <c:idx val="1"/>
          <c:order val="1"/>
          <c:tx>
            <c:strRef>
              <c:f>'%produits'!$I$3</c:f>
              <c:strCache>
                <c:ptCount val="1"/>
                <c:pt idx="0">
                  <c:v>Contribution Sociale Généralisée  (+9,6%)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C110-4DA5-B546-34EB2A1CC16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C110-4DA5-B546-34EB2A1CC16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D-C110-4DA5-B546-34EB2A1CC16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F-C110-4DA5-B546-34EB2A1CC169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1-C110-4DA5-B546-34EB2A1CC169}"/>
              </c:ext>
            </c:extLst>
          </c:dPt>
          <c:dLbls>
            <c:dLbl>
              <c:idx val="0"/>
              <c:layout>
                <c:manualLayout>
                  <c:x val="2.6773254250705915E-3"/>
                  <c:y val="-9.091228604567383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10-4DA5-B546-34EB2A1CC169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'%produits'!$J$3</c:f>
              <c:numCache>
                <c:formatCode>\+0.0;\-0.0</c:formatCode>
                <c:ptCount val="1"/>
                <c:pt idx="0">
                  <c:v>0.62806899152826345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110-4DA5-B546-34EB2A1CC169}"/>
            </c:ext>
          </c:extLst>
        </c:ser>
        <c:ser>
          <c:idx val="2"/>
          <c:order val="2"/>
          <c:tx>
            <c:strRef>
              <c:f>'%produits'!$I$4</c:f>
              <c:strCache>
                <c:ptCount val="1"/>
                <c:pt idx="0">
                  <c:v>Compensation démographique (-2,3%)</c:v>
                </c:pt>
              </c:strCache>
              <c:extLst xmlns:c15="http://schemas.microsoft.com/office/drawing/2012/chart"/>
            </c:strRef>
          </c:tx>
          <c:spPr>
            <a:pattFill prst="pct7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5-C110-4DA5-B546-34EB2A1CC169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7-C110-4DA5-B546-34EB2A1CC169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C110-4DA5-B546-34EB2A1CC169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C110-4DA5-B546-34EB2A1CC169}"/>
              </c:ext>
            </c:extLst>
          </c:dPt>
          <c:dPt>
            <c:idx val="6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C110-4DA5-B546-34EB2A1CC169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'%produits'!$J$4</c:f>
              <c:numCache>
                <c:formatCode>\+0.0;\-0.0</c:formatCode>
                <c:ptCount val="1"/>
                <c:pt idx="0">
                  <c:v>-0.39258570183329405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E-C110-4DA5-B546-34EB2A1CC169}"/>
            </c:ext>
          </c:extLst>
        </c:ser>
        <c:ser>
          <c:idx val="4"/>
          <c:order val="3"/>
          <c:tx>
            <c:strRef>
              <c:f>'%produits'!$I$5</c:f>
              <c:strCache>
                <c:ptCount val="1"/>
                <c:pt idx="0">
                  <c:v>Cotisations prises en charges par l'Etat (+8,5%)</c:v>
                </c:pt>
              </c:strCache>
              <c:extLst xmlns:c15="http://schemas.microsoft.com/office/drawing/2012/chart"/>
            </c:strRef>
          </c:tx>
          <c:spPr>
            <a:pattFill prst="pct50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0-C110-4DA5-B546-34EB2A1CC169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2-C110-4DA5-B546-34EB2A1CC169}"/>
              </c:ext>
            </c:extLst>
          </c:dPt>
          <c:dPt>
            <c:idx val="3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4-C110-4DA5-B546-34EB2A1CC169}"/>
              </c:ext>
            </c:extLst>
          </c:dPt>
          <c:dPt>
            <c:idx val="4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C110-4DA5-B546-34EB2A1CC169}"/>
              </c:ext>
            </c:extLst>
          </c:dPt>
          <c:dPt>
            <c:idx val="5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C110-4DA5-B546-34EB2A1CC169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C110-4DA5-B546-34EB2A1CC169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'%produits'!$J$5</c:f>
              <c:numCache>
                <c:formatCode>\+0.0;\-0.0</c:formatCode>
                <c:ptCount val="1"/>
                <c:pt idx="0">
                  <c:v>0.27305172632743696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2B-C110-4DA5-B546-34EB2A1CC169}"/>
            </c:ext>
          </c:extLst>
        </c:ser>
        <c:ser>
          <c:idx val="3"/>
          <c:order val="4"/>
          <c:tx>
            <c:strRef>
              <c:f>'%produits'!$I$6</c:f>
              <c:strCache>
                <c:ptCount val="1"/>
                <c:pt idx="0">
                  <c:v>ITAF (-3,7%)</c:v>
                </c:pt>
              </c:strCache>
              <c:extLst xmlns:c15="http://schemas.microsoft.com/office/drawing/2012/chart"/>
            </c:strRef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D-C110-4DA5-B546-34EB2A1CC169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F-C110-4DA5-B546-34EB2A1CC169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1-C110-4DA5-B546-34EB2A1CC169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3-C110-4DA5-B546-34EB2A1CC169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5-C110-4DA5-B546-34EB2A1CC169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'%produits'!$J$6</c:f>
              <c:numCache>
                <c:formatCode>\+0.0;\-0.0</c:formatCode>
                <c:ptCount val="1"/>
                <c:pt idx="0">
                  <c:v>-2.9670341425033736E-3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6-C110-4DA5-B546-34EB2A1CC169}"/>
            </c:ext>
          </c:extLst>
        </c:ser>
        <c:ser>
          <c:idx val="6"/>
          <c:order val="5"/>
          <c:tx>
            <c:strRef>
              <c:f>'%produits'!$I$7</c:f>
              <c:strCache>
                <c:ptCount val="1"/>
                <c:pt idx="0">
                  <c:v>Prise en charge de cotisations (-1,0%)</c:v>
                </c:pt>
              </c:strCache>
            </c:strRef>
          </c:tx>
          <c:spPr>
            <a:pattFill prst="pct25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'%produits'!$J$7</c:f>
              <c:numCache>
                <c:formatCode>\+0.0;\-0.0</c:formatCode>
                <c:ptCount val="1"/>
                <c:pt idx="0">
                  <c:v>-2.6776425674121463E-2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C110-4DA5-B546-34EB2A1CC169}"/>
            </c:ext>
          </c:extLst>
        </c:ser>
        <c:ser>
          <c:idx val="5"/>
          <c:order val="6"/>
          <c:tx>
            <c:strRef>
              <c:f>'%produits'!$I$8</c:f>
              <c:strCache>
                <c:ptCount val="1"/>
                <c:pt idx="0">
                  <c:v>Prise en charge de prestations (+19,9%)</c:v>
                </c:pt>
              </c:strCache>
              <c:extLst xmlns:c15="http://schemas.microsoft.com/office/drawing/2012/chart"/>
            </c:strRef>
          </c:tx>
          <c:spPr>
            <a:pattFill prst="zigZag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'%produits'!$J$8</c:f>
              <c:numCache>
                <c:formatCode>\+0.0;\-0.0</c:formatCode>
                <c:ptCount val="1"/>
                <c:pt idx="0">
                  <c:v>0.23052099235572168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8-C110-4DA5-B546-34EB2A1CC169}"/>
            </c:ext>
          </c:extLst>
        </c:ser>
        <c:ser>
          <c:idx val="7"/>
          <c:order val="7"/>
          <c:tx>
            <c:strRef>
              <c:f>'%produits'!$I$9</c:f>
              <c:strCache>
                <c:ptCount val="1"/>
                <c:pt idx="0">
                  <c:v>Contributions Régime général (-0,7%)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'%produits'!$J$9</c:f>
              <c:numCache>
                <c:formatCode>\+0.0;\-0.0</c:formatCode>
                <c:ptCount val="1"/>
                <c:pt idx="0">
                  <c:v>-0.13139717019458044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C110-4DA5-B546-34EB2A1CC169}"/>
            </c:ext>
          </c:extLst>
        </c:ser>
        <c:ser>
          <c:idx val="8"/>
          <c:order val="8"/>
          <c:tx>
            <c:strRef>
              <c:f>'%produits'!$I$10</c:f>
              <c:strCache>
                <c:ptCount val="1"/>
                <c:pt idx="0">
                  <c:v>Autres produits (+9,6%)</c:v>
                </c:pt>
              </c:strCache>
              <c:extLst xmlns:c15="http://schemas.microsoft.com/office/drawing/2012/chart"/>
            </c:strRef>
          </c:tx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'%produits'!$J$10</c:f>
              <c:numCache>
                <c:formatCode>\+0.0;\-0.0</c:formatCode>
                <c:ptCount val="1"/>
                <c:pt idx="0">
                  <c:v>1.1642092211369066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A-C110-4DA5-B546-34EB2A1CC1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4609880"/>
        <c:axId val="454606744"/>
        <c:extLst/>
      </c:barChart>
      <c:catAx>
        <c:axId val="454609880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high"/>
        <c:crossAx val="454606744"/>
        <c:crosses val="autoZero"/>
        <c:auto val="1"/>
        <c:lblAlgn val="ctr"/>
        <c:lblOffset val="100"/>
        <c:noMultiLvlLbl val="0"/>
      </c:catAx>
      <c:valAx>
        <c:axId val="45460674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50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4.1495637232188749E-2"/>
              <c:y val="0.194601757997574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5460988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5.1569882213536915E-2"/>
          <c:y val="0.73126524107675395"/>
          <c:w val="0.92283745948196128"/>
          <c:h val="0.22814635560109658"/>
        </c:manualLayout>
      </c:layout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4729907395458"/>
          <c:y val="4.6239662556922551E-2"/>
          <c:w val="0.61991537943003028"/>
          <c:h val="0.95376033744307742"/>
        </c:manualLayout>
      </c:layout>
      <c:pieChart>
        <c:varyColors val="1"/>
        <c:ser>
          <c:idx val="0"/>
          <c:order val="0"/>
          <c:explosion val="22"/>
          <c:dPt>
            <c:idx val="0"/>
            <c:bubble3D val="0"/>
            <c:explosion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38-4117-AC5A-D006E6158E80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38-4117-AC5A-D006E6158E80}"/>
              </c:ext>
            </c:extLst>
          </c:dPt>
          <c:dPt>
            <c:idx val="2"/>
            <c:bubble3D val="0"/>
            <c:explosion val="0"/>
            <c:spPr>
              <a:solidFill>
                <a:schemeClr val="accent1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38-4117-AC5A-D006E6158E80}"/>
              </c:ext>
            </c:extLst>
          </c:dPt>
          <c:dPt>
            <c:idx val="3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138-4117-AC5A-D006E6158E80}"/>
              </c:ext>
            </c:extLst>
          </c:dPt>
          <c:dPt>
            <c:idx val="4"/>
            <c:bubble3D val="0"/>
            <c:explosion val="0"/>
            <c:spPr>
              <a:solidFill>
                <a:schemeClr val="accent1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138-4117-AC5A-D006E6158E80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138-4117-AC5A-D006E6158E80}"/>
              </c:ext>
            </c:extLst>
          </c:dPt>
          <c:dPt>
            <c:idx val="6"/>
            <c:bubble3D val="0"/>
            <c:explosion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138-4117-AC5A-D006E6158E80}"/>
              </c:ext>
            </c:extLst>
          </c:dPt>
          <c:dLbls>
            <c:dLbl>
              <c:idx val="0"/>
              <c:layout>
                <c:manualLayout>
                  <c:x val="0.24492603618893927"/>
                  <c:y val="2.556877742501202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Prestations légales
94,1%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138-4117-AC5A-D006E6158E80}"/>
                </c:ext>
              </c:extLst>
            </c:dLbl>
            <c:dLbl>
              <c:idx val="1"/>
              <c:layout>
                <c:manualLayout>
                  <c:x val="-1.1653265073314698E-2"/>
                  <c:y val="-0.20074604674923285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Charges techniques*
1,8%</a:t>
                    </a:r>
                    <a:endParaRPr lang="en-US" sz="10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787995140183445"/>
                      <c:h val="0.11632126102001759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B138-4117-AC5A-D006E6158E80}"/>
                </c:ext>
              </c:extLst>
            </c:dLbl>
            <c:dLbl>
              <c:idx val="2"/>
              <c:layout>
                <c:manualLayout>
                  <c:x val="4.9579774259666212E-2"/>
                  <c:y val="-0.115381180660271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Dotations aux provisions
2,3%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979967168414903"/>
                      <c:h val="0.1529066151633649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B138-4117-AC5A-D006E6158E80}"/>
                </c:ext>
              </c:extLst>
            </c:dLbl>
            <c:dLbl>
              <c:idx val="3"/>
              <c:layout>
                <c:manualLayout>
                  <c:x val="4.9334186583567516E-2"/>
                  <c:y val="-3.4356304219862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Gestion
1,7%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524146054181389"/>
                      <c:h val="0.1236178466110215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7-B138-4117-AC5A-D006E6158E80}"/>
                </c:ext>
              </c:extLst>
            </c:dLbl>
            <c:dLbl>
              <c:idx val="4"/>
              <c:layout>
                <c:manualLayout>
                  <c:x val="3.1892267883475607E-2"/>
                  <c:y val="4.3699333045473084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Prestations extra-légales
0,1%</a:t>
                    </a:r>
                    <a:endParaRPr lang="en-US" sz="10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799764428739693"/>
                      <c:h val="0.161036693861886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9-B138-4117-AC5A-D006E6158E8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38-4117-AC5A-D006E6158E80}"/>
                </c:ext>
              </c:extLst>
            </c:dLbl>
            <c:dLbl>
              <c:idx val="6"/>
              <c:layout>
                <c:manualLayout>
                  <c:x val="-1.0204409077840537E-2"/>
                  <c:y val="0.21515741144695877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Autres charges</a:t>
                    </a:r>
                  </a:p>
                  <a:p>
                    <a:r>
                      <a:rPr lang="en-US" sz="10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(dont</a:t>
                    </a:r>
                    <a:r>
                      <a:rPr lang="en-US" sz="1000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 charges financières)</a:t>
                    </a:r>
                    <a:r>
                      <a:rPr lang="en-US" sz="10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
&lt;</a:t>
                    </a:r>
                    <a:r>
                      <a:rPr lang="en-US" sz="1000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 à 0,1</a:t>
                    </a:r>
                    <a:r>
                      <a:rPr lang="en-US" sz="10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%</a:t>
                    </a:r>
                    <a:endParaRPr lang="en-US" sz="10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992589707205326"/>
                      <c:h val="0.17813002428460908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D-B138-4117-AC5A-D006E6158E8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'%chargesRetraite'!$A$2:$A$8</c:f>
              <c:strCache>
                <c:ptCount val="7"/>
                <c:pt idx="0">
                  <c:v>Prestations légales</c:v>
                </c:pt>
                <c:pt idx="1">
                  <c:v>Charges techniques</c:v>
                </c:pt>
                <c:pt idx="2">
                  <c:v>Dotations aux provisions</c:v>
                </c:pt>
                <c:pt idx="3">
                  <c:v>Gestion</c:v>
                </c:pt>
                <c:pt idx="4">
                  <c:v>Prestations extra-légales</c:v>
                </c:pt>
                <c:pt idx="5">
                  <c:v>Charges financières</c:v>
                </c:pt>
                <c:pt idx="6">
                  <c:v>Autres charges</c:v>
                </c:pt>
              </c:strCache>
            </c:strRef>
          </c:cat>
          <c:val>
            <c:numRef>
              <c:f>'%chargesRetraite'!$C$2:$C$8</c:f>
              <c:numCache>
                <c:formatCode>#\ ##0.0</c:formatCode>
                <c:ptCount val="7"/>
                <c:pt idx="0">
                  <c:v>6489.6159428500005</c:v>
                </c:pt>
                <c:pt idx="1">
                  <c:v>120.87609157999999</c:v>
                </c:pt>
                <c:pt idx="2">
                  <c:v>158.87089508</c:v>
                </c:pt>
                <c:pt idx="3">
                  <c:v>114.4501968</c:v>
                </c:pt>
                <c:pt idx="4">
                  <c:v>9.7648492700000133</c:v>
                </c:pt>
                <c:pt idx="5">
                  <c:v>0.16864579000000002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138-4117-AC5A-D006E6158E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'%chargesRetraite'!$C$33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'%chargesRetraite'!$A$34:$A$38</c:f>
              <c:strCache>
                <c:ptCount val="5"/>
                <c:pt idx="0">
                  <c:v>MALADIE</c:v>
                </c:pt>
                <c:pt idx="1">
                  <c:v>AT</c:v>
                </c:pt>
                <c:pt idx="2">
                  <c:v>FAMILLE</c:v>
                </c:pt>
                <c:pt idx="3">
                  <c:v>RETRAITE</c:v>
                </c:pt>
                <c:pt idx="4">
                  <c:v>SASPA</c:v>
                </c:pt>
              </c:strCache>
            </c:strRef>
          </c:cat>
          <c:val>
            <c:numRef>
              <c:f>'%chargesRetraite'!$C$34:$C$38</c:f>
              <c:numCache>
                <c:formatCode>#\ ##0.0</c:formatCode>
                <c:ptCount val="5"/>
                <c:pt idx="0">
                  <c:v>5880.6084375599994</c:v>
                </c:pt>
                <c:pt idx="1">
                  <c:v>725.69352690000005</c:v>
                </c:pt>
                <c:pt idx="2">
                  <c:v>953.31687942999997</c:v>
                </c:pt>
                <c:pt idx="3">
                  <c:v>6805.3324983500024</c:v>
                </c:pt>
                <c:pt idx="4">
                  <c:v>953.67266248999999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D-4D40-B578-CF3AFA5BADAB}"/>
            </c:ext>
          </c:extLst>
        </c:ser>
        <c:ser>
          <c:idx val="1"/>
          <c:order val="1"/>
          <c:tx>
            <c:strRef>
              <c:f>'%chargesRetraite'!$D$33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5496515310436419E-2"/>
                  <c:y val="-2.13238500966919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0D-4D40-B578-CF3AFA5BADAB}"/>
                </c:ext>
              </c:extLst>
            </c:dLbl>
            <c:dLbl>
              <c:idx val="3"/>
              <c:layout>
                <c:manualLayout>
                  <c:x val="3.2894435849686439E-2"/>
                  <c:y val="8.13622414220826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0D-4D40-B578-CF3AFA5BAD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'%chargesRetraite'!$A$34:$A$38</c:f>
              <c:strCache>
                <c:ptCount val="5"/>
                <c:pt idx="0">
                  <c:v>MALADIE</c:v>
                </c:pt>
                <c:pt idx="1">
                  <c:v>AT</c:v>
                </c:pt>
                <c:pt idx="2">
                  <c:v>FAMILLE</c:v>
                </c:pt>
                <c:pt idx="3">
                  <c:v>RETRAITE</c:v>
                </c:pt>
                <c:pt idx="4">
                  <c:v>SASPA</c:v>
                </c:pt>
              </c:strCache>
            </c:strRef>
          </c:cat>
          <c:val>
            <c:numRef>
              <c:f>'%chargesRetraite'!$D$34:$D$38</c:f>
              <c:numCache>
                <c:formatCode>#\ ##0.0</c:formatCode>
                <c:ptCount val="5"/>
                <c:pt idx="0">
                  <c:v>6106.6009445300006</c:v>
                </c:pt>
                <c:pt idx="1">
                  <c:v>740.97023516000002</c:v>
                </c:pt>
                <c:pt idx="2">
                  <c:v>1023.51358857</c:v>
                </c:pt>
                <c:pt idx="3">
                  <c:v>6893.7466213700009</c:v>
                </c:pt>
                <c:pt idx="4">
                  <c:v>697.76044102999992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0D-4D40-B578-CF3AFA5BA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613016"/>
        <c:axId val="454611056"/>
      </c:barChart>
      <c:catAx>
        <c:axId val="454613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54611056"/>
        <c:crosses val="autoZero"/>
        <c:auto val="1"/>
        <c:lblAlgn val="ctr"/>
        <c:lblOffset val="100"/>
        <c:noMultiLvlLbl val="0"/>
      </c:catAx>
      <c:valAx>
        <c:axId val="454611056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54613016"/>
        <c:crosses val="autoZero"/>
        <c:crossBetween val="between"/>
        <c:majorUnit val="200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588762391962151"/>
          <c:y val="0.1000105792374142"/>
          <c:w val="0.49807613220321983"/>
          <c:h val="0.799978841525171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98-4BE9-9A02-0FD1EE049BF0}"/>
              </c:ext>
            </c:extLst>
          </c:dPt>
          <c:dPt>
            <c:idx val="1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98-4BE9-9A02-0FD1EE049BF0}"/>
              </c:ext>
            </c:extLst>
          </c:dPt>
          <c:dPt>
            <c:idx val="2"/>
            <c:bubble3D val="0"/>
            <c:spPr>
              <a:solidFill>
                <a:schemeClr val="accent1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98-4BE9-9A02-0FD1EE049BF0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98-4BE9-9A02-0FD1EE049BF0}"/>
              </c:ext>
            </c:extLst>
          </c:dPt>
          <c:dPt>
            <c:idx val="4"/>
            <c:bubble3D val="0"/>
            <c:spPr>
              <a:solidFill>
                <a:schemeClr val="accent1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98-4BE9-9A02-0FD1EE049BF0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98-4BE9-9A02-0FD1EE049BF0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98-4BE9-9A02-0FD1EE049BF0}"/>
              </c:ext>
            </c:extLst>
          </c:dPt>
          <c:dLbls>
            <c:dLbl>
              <c:idx val="0"/>
              <c:layout>
                <c:manualLayout>
                  <c:x val="-0.1816961733286524"/>
                  <c:y val="0.2192929578795985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C706E98-02C4-4AB2-86F4-372669C4EC6A}" type="CATEGORYNAME">
                      <a:rPr lang="en-US" sz="1000" b="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r>
                      <a:rPr lang="en-US" sz="1000" b="0" baseline="0">
                        <a:solidFill>
                          <a:schemeClr val="bg1"/>
                        </a:solidFill>
                      </a:rPr>
                      <a:t>
(45,4%)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bg1"/>
                        </a:solidFill>
                      </a:rPr>
                      <a:t>3,1 Mds €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sz="1000" b="0" baseline="0">
                        <a:solidFill>
                          <a:schemeClr val="bg1"/>
                        </a:solidFill>
                      </a:rPr>
                      <a:t>(+3,6 % par rapport à 2021)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903388668773094"/>
                      <c:h val="0.271031470277712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598-4BE9-9A02-0FD1EE049BF0}"/>
                </c:ext>
              </c:extLst>
            </c:dLbl>
            <c:dLbl>
              <c:idx val="1"/>
              <c:layout>
                <c:manualLayout>
                  <c:x val="1.8023304411789291E-2"/>
                  <c:y val="-0.1398124091769782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FC40878-28B2-4233-AAB4-E51854212AE8}" type="CATEGORYNAME">
                      <a:rPr lang="en-US" sz="10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r>
                      <a:rPr lang="en-US" sz="1000" baseline="0">
                        <a:solidFill>
                          <a:schemeClr val="bg1"/>
                        </a:solidFill>
                      </a:rPr>
                      <a:t>
(</a:t>
                    </a:r>
                    <a:fld id="{5D887737-ACFA-4687-A6E7-C965C71BCFC4}" type="PERCENTAGE">
                      <a:rPr lang="en-US" sz="1000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[POURCENTAGE]</a:t>
                    </a:fld>
                    <a:r>
                      <a:rPr lang="en-US" sz="1000" baseline="0">
                        <a:solidFill>
                          <a:schemeClr val="bg1"/>
                        </a:solidFill>
                      </a:rPr>
                      <a:t>)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bg1"/>
                        </a:solidFill>
                      </a:rPr>
                      <a:t>2,5 Mds €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 baseline="0">
                        <a:solidFill>
                          <a:schemeClr val="bg1"/>
                        </a:solidFill>
                      </a:rPr>
                      <a:t>(-2,3 % par rapport à 2021)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endParaRPr lang="fr-FR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64747479813432"/>
                      <c:h val="0.2860357288235351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598-4BE9-9A02-0FD1EE049B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98-4BE9-9A02-0FD1EE049B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98-4BE9-9A02-0FD1EE049BF0}"/>
                </c:ext>
              </c:extLst>
            </c:dLbl>
            <c:dLbl>
              <c:idx val="4"/>
              <c:layout>
                <c:manualLayout>
                  <c:x val="-2.6327704475719766E-2"/>
                  <c:y val="0.30644348758938289"/>
                </c:manualLayout>
              </c:layout>
              <c:tx>
                <c:rich>
                  <a:bodyPr/>
                  <a:lstStyle/>
                  <a:p>
                    <a:fld id="{6F8BBD1A-B206-485D-9507-73A591ECD131}" type="CATEGORYNAME">
                      <a:rPr lang="en-US" sz="1200"/>
                      <a:pPr/>
                      <a:t>[NOM DE CATÉGORIE]</a:t>
                    </a:fld>
                    <a:endParaRPr lang="en-US" sz="1200" baseline="0"/>
                  </a:p>
                  <a:p>
                    <a:r>
                      <a:rPr lang="en-US" sz="1200" baseline="0"/>
                      <a:t>(6,8%)</a:t>
                    </a:r>
                  </a:p>
                  <a:p>
                    <a:r>
                      <a:rPr lang="en-US" sz="1200" b="1" baseline="0"/>
                      <a:t>0,5 Md €</a:t>
                    </a:r>
                  </a:p>
                  <a:p>
                    <a:r>
                      <a:rPr lang="en-US" sz="800" baseline="0"/>
                      <a:t>(+ 2,0 % par rapport à 2021)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651804670912951"/>
                      <c:h val="0.204637626212450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598-4BE9-9A02-0FD1EE049BF0}"/>
                </c:ext>
              </c:extLst>
            </c:dLbl>
            <c:dLbl>
              <c:idx val="5"/>
              <c:layout>
                <c:manualLayout>
                  <c:x val="-2.2016232843506026E-2"/>
                  <c:y val="0.16794525969611271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Prise en charge de cotisations et</a:t>
                    </a:r>
                    <a:r>
                      <a:rPr lang="en-US" sz="1200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 prestations*</a:t>
                    </a:r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
(7,7%)</a:t>
                    </a:r>
                  </a:p>
                  <a:p>
                    <a:r>
                      <a:rPr lang="en-US" sz="1200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0,5 Md €</a:t>
                    </a:r>
                  </a:p>
                  <a:p>
                    <a:r>
                      <a:rPr lang="en-US" sz="8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(-</a:t>
                    </a:r>
                    <a:r>
                      <a:rPr lang="en-US" sz="800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 1,0 </a:t>
                    </a:r>
                    <a:r>
                      <a:rPr lang="en-US" sz="8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% par rapport à 2020)</a:t>
                    </a:r>
                    <a:endParaRPr lang="en-US" sz="8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684721734623931"/>
                      <c:h val="0.2723954937818786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B-7598-4BE9-9A02-0FD1EE049BF0}"/>
                </c:ext>
              </c:extLst>
            </c:dLbl>
            <c:dLbl>
              <c:idx val="6"/>
              <c:layout>
                <c:manualLayout>
                  <c:x val="-3.5882608622966716E-2"/>
                  <c:y val="3.7218509047127549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Compensations des exonérations (Etat, ITAF)
(3,9%)</a:t>
                    </a:r>
                  </a:p>
                  <a:p>
                    <a:r>
                      <a:rPr lang="en-US" sz="1200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0,3 Md €</a:t>
                    </a:r>
                  </a:p>
                  <a:p>
                    <a:r>
                      <a:rPr lang="en-US" sz="8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(+ 6,7 % par rapport à 2021)</a:t>
                    </a:r>
                    <a:endParaRPr lang="en-US" sz="8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549893842887472"/>
                      <c:h val="0.26513206862219663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D-7598-4BE9-9A02-0FD1EE049BF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'%produitsRetraite'!$A$16:$A$22</c:f>
              <c:strCache>
                <c:ptCount val="7"/>
                <c:pt idx="0">
                  <c:v>Cotisations sociales</c:v>
                </c:pt>
                <c:pt idx="1">
                  <c:v>Compensation démographique</c:v>
                </c:pt>
                <c:pt idx="2">
                  <c:v>Contributions Régime général</c:v>
                </c:pt>
                <c:pt idx="3">
                  <c:v>Contribution Sociale Généralisée</c:v>
                </c:pt>
                <c:pt idx="4">
                  <c:v>Autres produits**</c:v>
                </c:pt>
                <c:pt idx="5">
                  <c:v>Prise en charge de cotisations et prestations*</c:v>
                </c:pt>
                <c:pt idx="6">
                  <c:v>Compensations des exonérations (Etat, ITAF)</c:v>
                </c:pt>
              </c:strCache>
            </c:strRef>
          </c:cat>
          <c:val>
            <c:numRef>
              <c:f>'%produitsRetraite'!$C$16:$C$22</c:f>
              <c:numCache>
                <c:formatCode>#\ ##0.0</c:formatCode>
                <c:ptCount val="7"/>
                <c:pt idx="0">
                  <c:v>3132.4160716800002</c:v>
                </c:pt>
                <c:pt idx="1">
                  <c:v>2497</c:v>
                </c:pt>
                <c:pt idx="2">
                  <c:v>0</c:v>
                </c:pt>
                <c:pt idx="3">
                  <c:v>0</c:v>
                </c:pt>
                <c:pt idx="4">
                  <c:v>467.94314227000086</c:v>
                </c:pt>
                <c:pt idx="5">
                  <c:v>528.22018652999998</c:v>
                </c:pt>
                <c:pt idx="6">
                  <c:v>268.16722089000001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98-4BE9-9A02-0FD1EE049B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1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'%charges'!$C$36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'%charges'!$A$37:$A$40</c:f>
              <c:strCache>
                <c:ptCount val="4"/>
                <c:pt idx="0">
                  <c:v>MALADIE</c:v>
                </c:pt>
                <c:pt idx="1">
                  <c:v>AT</c:v>
                </c:pt>
                <c:pt idx="2">
                  <c:v>FAMILLE</c:v>
                </c:pt>
                <c:pt idx="3">
                  <c:v>RETRAITE</c:v>
                </c:pt>
              </c:strCache>
            </c:strRef>
          </c:cat>
          <c:val>
            <c:numRef>
              <c:f>'%produitsRetraite'!$B$55:$B$58</c:f>
              <c:numCache>
                <c:formatCode>#\ ##0.0</c:formatCode>
                <c:ptCount val="4"/>
                <c:pt idx="0">
                  <c:v>5880.6084375600003</c:v>
                </c:pt>
                <c:pt idx="1">
                  <c:v>756.70264492000001</c:v>
                </c:pt>
                <c:pt idx="2">
                  <c:v>953.31687942999986</c:v>
                </c:pt>
                <c:pt idx="3">
                  <c:v>6805.3324983500006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6-43C2-952D-DB4DB7C3F018}"/>
            </c:ext>
          </c:extLst>
        </c:ser>
        <c:ser>
          <c:idx val="1"/>
          <c:order val="1"/>
          <c:tx>
            <c:strRef>
              <c:f>'%charges'!$D$36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66666666666666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96-43C2-952D-DB4DB7C3F018}"/>
                </c:ext>
              </c:extLst>
            </c:dLbl>
            <c:dLbl>
              <c:idx val="3"/>
              <c:layout>
                <c:manualLayout>
                  <c:x val="1.9444444444444445E-2"/>
                  <c:y val="-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96-43C2-952D-DB4DB7C3F0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'%charges'!$A$37:$A$40</c:f>
              <c:strCache>
                <c:ptCount val="4"/>
                <c:pt idx="0">
                  <c:v>MALADIE</c:v>
                </c:pt>
                <c:pt idx="1">
                  <c:v>AT</c:v>
                </c:pt>
                <c:pt idx="2">
                  <c:v>FAMILLE</c:v>
                </c:pt>
                <c:pt idx="3">
                  <c:v>RETRAITE</c:v>
                </c:pt>
              </c:strCache>
            </c:strRef>
          </c:cat>
          <c:val>
            <c:numRef>
              <c:f>'%produitsRetraite'!$C$55:$C$58</c:f>
              <c:numCache>
                <c:formatCode>#\ ##0.0</c:formatCode>
                <c:ptCount val="4"/>
                <c:pt idx="0">
                  <c:v>6106.6009445300006</c:v>
                </c:pt>
                <c:pt idx="1">
                  <c:v>800.57428067000001</c:v>
                </c:pt>
                <c:pt idx="2">
                  <c:v>1023.5135885699999</c:v>
                </c:pt>
                <c:pt idx="3">
                  <c:v>6893.7466213700009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96-43C2-952D-DB4DB7C3F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612624"/>
        <c:axId val="454607528"/>
      </c:barChart>
      <c:catAx>
        <c:axId val="45461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54607528"/>
        <c:crosses val="autoZero"/>
        <c:auto val="1"/>
        <c:lblAlgn val="ctr"/>
        <c:lblOffset val="100"/>
        <c:noMultiLvlLbl val="0"/>
      </c:catAx>
      <c:valAx>
        <c:axId val="45460752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54612624"/>
        <c:crosses val="autoZero"/>
        <c:crossBetween val="between"/>
        <c:majorUnit val="200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006-4EAA-A3AB-333CBE98C8C6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006-4EAA-A3AB-333CBE98C8C6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006-4EAA-A3AB-333CBE98C8C6}"/>
              </c:ext>
            </c:extLst>
          </c:dPt>
          <c:dLbls>
            <c:dLbl>
              <c:idx val="0"/>
              <c:layout>
                <c:manualLayout>
                  <c:x val="8.9574365704286965E-2"/>
                  <c:y val="-0.13090113735783035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maladie
</a:t>
                    </a:r>
                    <a:r>
                      <a:rPr lang="en-US" sz="1200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27,4%</a:t>
                    </a:r>
                    <a:endParaRPr lang="en-US" b="1">
                      <a:solidFill>
                        <a:schemeClr val="accent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006-4EAA-A3AB-333CBE98C8C6}"/>
                </c:ext>
              </c:extLst>
            </c:dLbl>
            <c:dLbl>
              <c:idx val="1"/>
              <c:layout>
                <c:manualLayout>
                  <c:x val="0.166634995260248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ATMP
</a:t>
                    </a:r>
                    <a:r>
                      <a:rPr lang="en-US" sz="1200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8,7%</a:t>
                    </a:r>
                    <a:endParaRPr lang="en-US" b="1">
                      <a:solidFill>
                        <a:schemeClr val="accent1">
                          <a:lumMod val="75000"/>
                        </a:schemeClr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006-4EAA-A3AB-333CBE98C8C6}"/>
                </c:ext>
              </c:extLst>
            </c:dLbl>
            <c:dLbl>
              <c:idx val="2"/>
              <c:layout>
                <c:manualLayout>
                  <c:x val="-2.5620516185476814E-2"/>
                  <c:y val="-4.1666666666666669E-4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famille
</a:t>
                    </a:r>
                    <a:r>
                      <a:rPr lang="en-US" sz="1200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11,2%</a:t>
                    </a:r>
                    <a:endParaRPr lang="en-US" b="1">
                      <a:solidFill>
                        <a:schemeClr val="accent1">
                          <a:lumMod val="75000"/>
                        </a:schemeClr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006-4EAA-A3AB-333CBE98C8C6}"/>
                </c:ext>
              </c:extLst>
            </c:dLbl>
            <c:dLbl>
              <c:idx val="3"/>
              <c:layout>
                <c:manualLayout>
                  <c:x val="0.14764902821385323"/>
                  <c:y val="0.19979986876640415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retraite
</a:t>
                    </a:r>
                    <a:r>
                      <a:rPr lang="en-US" sz="1200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52,7%</a:t>
                    </a:r>
                    <a:endParaRPr lang="en-US" b="1">
                      <a:solidFill>
                        <a:schemeClr val="accent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006-4EAA-A3AB-333CBE98C8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'SA1'!$A$4:$A$7</c:f>
              <c:strCache>
                <c:ptCount val="4"/>
                <c:pt idx="0">
                  <c:v>ü retraite</c:v>
                </c:pt>
                <c:pt idx="1">
                  <c:v>ü maladie-maternité-invalidité-décès</c:v>
                </c:pt>
                <c:pt idx="2">
                  <c:v>ü famille</c:v>
                </c:pt>
                <c:pt idx="3">
                  <c:v>ü accident du travail et maladie professionnelle</c:v>
                </c:pt>
              </c:strCache>
            </c:strRef>
          </c:cat>
          <c:val>
            <c:numRef>
              <c:f>'SA1'!$D$11:$D$14</c:f>
              <c:numCache>
                <c:formatCode>0.0%</c:formatCode>
                <c:ptCount val="4"/>
                <c:pt idx="0">
                  <c:v>0.27382869144271788</c:v>
                </c:pt>
                <c:pt idx="1">
                  <c:v>8.698101088786063E-2</c:v>
                </c:pt>
                <c:pt idx="2">
                  <c:v>0.11223749445080493</c:v>
                </c:pt>
                <c:pt idx="3">
                  <c:v>0.52695280321861659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06-4EAA-A3AB-333CBE98C8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69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4729907395458"/>
          <c:y val="4.6239662556922551E-2"/>
          <c:w val="0.61991537943003028"/>
          <c:h val="0.95376033744307742"/>
        </c:manualLayout>
      </c:layout>
      <c:pieChart>
        <c:varyColors val="1"/>
        <c:ser>
          <c:idx val="0"/>
          <c:order val="0"/>
          <c:explosion val="26"/>
          <c:dPt>
            <c:idx val="0"/>
            <c:bubble3D val="0"/>
            <c:explosion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6E-4755-93CD-04ABFD61256A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6E-4755-93CD-04ABFD61256A}"/>
              </c:ext>
            </c:extLst>
          </c:dPt>
          <c:dPt>
            <c:idx val="2"/>
            <c:bubble3D val="0"/>
            <c:explosion val="0"/>
            <c:spPr>
              <a:solidFill>
                <a:schemeClr val="accent1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C6E-4755-93CD-04ABFD61256A}"/>
              </c:ext>
            </c:extLst>
          </c:dPt>
          <c:dPt>
            <c:idx val="3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C6E-4755-93CD-04ABFD61256A}"/>
              </c:ext>
            </c:extLst>
          </c:dPt>
          <c:dPt>
            <c:idx val="4"/>
            <c:bubble3D val="0"/>
            <c:explosion val="0"/>
            <c:spPr>
              <a:solidFill>
                <a:schemeClr val="accent1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C6E-4755-93CD-04ABFD61256A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C6E-4755-93CD-04ABFD61256A}"/>
              </c:ext>
            </c:extLst>
          </c:dPt>
          <c:dPt>
            <c:idx val="6"/>
            <c:bubble3D val="0"/>
            <c:explosion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C6E-4755-93CD-04ABFD61256A}"/>
              </c:ext>
            </c:extLst>
          </c:dPt>
          <c:dLbls>
            <c:dLbl>
              <c:idx val="0"/>
              <c:layout>
                <c:manualLayout>
                  <c:x val="0.20985600914180555"/>
                  <c:y val="1.212099198347610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Prestations légales
86,4%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C6E-4755-93CD-04ABFD61256A}"/>
                </c:ext>
              </c:extLst>
            </c:dLbl>
            <c:dLbl>
              <c:idx val="1"/>
              <c:layout>
                <c:manualLayout>
                  <c:x val="-9.2971865944919144E-2"/>
                  <c:y val="-0.23966749325411707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Charges techniques
3,0%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C6E-4755-93CD-04ABFD61256A}"/>
                </c:ext>
              </c:extLst>
            </c:dLbl>
            <c:dLbl>
              <c:idx val="2"/>
              <c:layout>
                <c:manualLayout>
                  <c:x val="1.3506671426443432E-3"/>
                  <c:y val="-0.1991991135687195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Dotations aux provisions
4,9%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C6E-4755-93CD-04ABFD61256A}"/>
                </c:ext>
              </c:extLst>
            </c:dLbl>
            <c:dLbl>
              <c:idx val="3"/>
              <c:layout>
                <c:manualLayout>
                  <c:x val="0.15778678552735639"/>
                  <c:y val="-0.199791394996963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Gestion
4,5%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C6E-4755-93CD-04ABFD61256A}"/>
                </c:ext>
              </c:extLst>
            </c:dLbl>
            <c:dLbl>
              <c:idx val="4"/>
              <c:layout>
                <c:manualLayout>
                  <c:x val="0.11303857441259067"/>
                  <c:y val="-8.8552516445032592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Prestations extra-légales
1,2%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C6E-4755-93CD-04ABFD6125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6E-4755-93CD-04ABFD61256A}"/>
                </c:ext>
              </c:extLst>
            </c:dLbl>
            <c:dLbl>
              <c:idx val="6"/>
              <c:layout>
                <c:manualLayout>
                  <c:x val="3.5590599267534245E-2"/>
                  <c:y val="0.11066050577847679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Autres charges</a:t>
                    </a:r>
                  </a:p>
                  <a:p>
                    <a:r>
                      <a:rPr lang="en-US" sz="10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(dont</a:t>
                    </a:r>
                    <a:r>
                      <a:rPr lang="en-US" sz="1000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 charges financières)</a:t>
                    </a:r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
 &lt;</a:t>
                    </a:r>
                    <a:r>
                      <a:rPr lang="en-US" sz="1200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 </a:t>
                    </a:r>
                    <a:r>
                      <a:rPr lang="en-US" sz="12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0,1%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3C6E-4755-93CD-04ABFD6125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'%charges'!$A$2:$A$8</c:f>
              <c:strCache>
                <c:ptCount val="7"/>
                <c:pt idx="0">
                  <c:v>Prestations légales</c:v>
                </c:pt>
                <c:pt idx="1">
                  <c:v>Charges techniques</c:v>
                </c:pt>
                <c:pt idx="2">
                  <c:v>Dotations aux provisions</c:v>
                </c:pt>
                <c:pt idx="3">
                  <c:v>Gestion</c:v>
                </c:pt>
                <c:pt idx="4">
                  <c:v>Prestations extra-légales</c:v>
                </c:pt>
                <c:pt idx="5">
                  <c:v>Charges financières</c:v>
                </c:pt>
                <c:pt idx="6">
                  <c:v>Autres charges</c:v>
                </c:pt>
              </c:strCache>
            </c:strRef>
          </c:cat>
          <c:val>
            <c:numRef>
              <c:f>'%charges'!$C$2:$C$8</c:f>
              <c:numCache>
                <c:formatCode>#\ ##0.0</c:formatCode>
                <c:ptCount val="7"/>
                <c:pt idx="0">
                  <c:v>13360.89333601</c:v>
                </c:pt>
                <c:pt idx="1">
                  <c:v>467.22136929999999</c:v>
                </c:pt>
                <c:pt idx="2">
                  <c:v>754.49803847999999</c:v>
                </c:pt>
                <c:pt idx="3">
                  <c:v>689.57197067999994</c:v>
                </c:pt>
                <c:pt idx="4">
                  <c:v>187.22831293000309</c:v>
                </c:pt>
                <c:pt idx="5">
                  <c:v>3.1788032599999996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C6E-4755-93CD-04ABFD6125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1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'%charges'!$C$36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'%charges'!$A$37:$A$42</c:f>
              <c:strCache>
                <c:ptCount val="6"/>
                <c:pt idx="0">
                  <c:v>MALADIE</c:v>
                </c:pt>
                <c:pt idx="1">
                  <c:v>AT</c:v>
                </c:pt>
                <c:pt idx="2">
                  <c:v>FAMILLE</c:v>
                </c:pt>
                <c:pt idx="3">
                  <c:v>RETRAITE</c:v>
                </c:pt>
                <c:pt idx="4">
                  <c:v>SASPA</c:v>
                </c:pt>
                <c:pt idx="5">
                  <c:v>Total DEPENSES</c:v>
                </c:pt>
              </c:strCache>
            </c:strRef>
          </c:cat>
          <c:val>
            <c:numRef>
              <c:f>'%charges'!$C$37:$C$42</c:f>
              <c:numCache>
                <c:formatCode>#\ ##0.0</c:formatCode>
                <c:ptCount val="6"/>
                <c:pt idx="0">
                  <c:v>5880.6084375599994</c:v>
                </c:pt>
                <c:pt idx="1">
                  <c:v>725.69352690000005</c:v>
                </c:pt>
                <c:pt idx="2">
                  <c:v>953.31687942999997</c:v>
                </c:pt>
                <c:pt idx="3">
                  <c:v>6805.3324983500024</c:v>
                </c:pt>
                <c:pt idx="4">
                  <c:v>679.87717814999996</c:v>
                </c:pt>
                <c:pt idx="5">
                  <c:v>15044.828520390001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B-4A00-98A4-44938F180926}"/>
            </c:ext>
          </c:extLst>
        </c:ser>
        <c:ser>
          <c:idx val="1"/>
          <c:order val="1"/>
          <c:tx>
            <c:strRef>
              <c:f>'%charges'!$D$36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3888888888888888E-2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B-4A00-98A4-44938F180926}"/>
                </c:ext>
              </c:extLst>
            </c:dLbl>
            <c:dLbl>
              <c:idx val="1"/>
              <c:layout>
                <c:manualLayout>
                  <c:x val="5.5555555555555558E-3"/>
                  <c:y val="-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3B-4A00-98A4-44938F180926}"/>
                </c:ext>
              </c:extLst>
            </c:dLbl>
            <c:dLbl>
              <c:idx val="2"/>
              <c:layout>
                <c:manualLayout>
                  <c:x val="-5.0925337632079971E-17"/>
                  <c:y val="-3.24074074074074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3B-4A00-98A4-44938F180926}"/>
                </c:ext>
              </c:extLst>
            </c:dLbl>
            <c:dLbl>
              <c:idx val="3"/>
              <c:layout>
                <c:manualLayout>
                  <c:x val="-1.9260082116291582E-2"/>
                  <c:y val="-4.16666666666667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3B-4A00-98A4-44938F180926}"/>
                </c:ext>
              </c:extLst>
            </c:dLbl>
            <c:dLbl>
              <c:idx val="4"/>
              <c:layout>
                <c:manualLayout>
                  <c:x val="-1.0185067526415994E-16"/>
                  <c:y val="-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3B-4A00-98A4-44938F180926}"/>
                </c:ext>
              </c:extLst>
            </c:dLbl>
            <c:dLbl>
              <c:idx val="5"/>
              <c:layout>
                <c:manualLayout>
                  <c:x val="-8.5791430469755015E-2"/>
                  <c:y val="-2.5540223313669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3B-4A00-98A4-44938F180926}"/>
                </c:ext>
              </c:extLst>
            </c:dLbl>
            <c:numFmt formatCode="#,##0.0\ &quot;M&quot;&quot;€&quot;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'%charges'!$A$37:$A$42</c:f>
              <c:strCache>
                <c:ptCount val="6"/>
                <c:pt idx="0">
                  <c:v>MALADIE</c:v>
                </c:pt>
                <c:pt idx="1">
                  <c:v>AT</c:v>
                </c:pt>
                <c:pt idx="2">
                  <c:v>FAMILLE</c:v>
                </c:pt>
                <c:pt idx="3">
                  <c:v>RETRAITE</c:v>
                </c:pt>
                <c:pt idx="4">
                  <c:v>SASPA</c:v>
                </c:pt>
                <c:pt idx="5">
                  <c:v>Total DEPENSES</c:v>
                </c:pt>
              </c:strCache>
            </c:strRef>
          </c:cat>
          <c:val>
            <c:numRef>
              <c:f>'%charges'!$D$37:$D$42</c:f>
              <c:numCache>
                <c:formatCode>#\ ##0.0</c:formatCode>
                <c:ptCount val="6"/>
                <c:pt idx="0">
                  <c:v>6106.6009445300006</c:v>
                </c:pt>
                <c:pt idx="1">
                  <c:v>740.97023516000002</c:v>
                </c:pt>
                <c:pt idx="2">
                  <c:v>1023.51358857</c:v>
                </c:pt>
                <c:pt idx="3">
                  <c:v>6893.7466213700009</c:v>
                </c:pt>
                <c:pt idx="4">
                  <c:v>697.76044102999992</c:v>
                </c:pt>
                <c:pt idx="5">
                  <c:v>15462.591830660002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3B-4A00-98A4-44938F18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02640"/>
        <c:axId val="127358336"/>
      </c:barChart>
      <c:catAx>
        <c:axId val="118702640"/>
        <c:scaling>
          <c:orientation val="minMax"/>
        </c:scaling>
        <c:delete val="0"/>
        <c:axPos val="b"/>
        <c:majorGridlines>
          <c:spPr>
            <a:ln w="9525">
              <a:solidFill>
                <a:schemeClr val="accent1">
                  <a:lumMod val="5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127358336"/>
        <c:crosses val="autoZero"/>
        <c:auto val="1"/>
        <c:lblAlgn val="ctr"/>
        <c:lblOffset val="100"/>
        <c:noMultiLvlLbl val="0"/>
      </c:catAx>
      <c:valAx>
        <c:axId val="1273583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118702640"/>
        <c:crosses val="autoZero"/>
        <c:crossBetween val="between"/>
        <c:majorUnit val="2000"/>
      </c:valAx>
    </c:plotArea>
    <c:legend>
      <c:legendPos val="r"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050">
                <a:solidFill>
                  <a:schemeClr val="accent1">
                    <a:lumMod val="50000"/>
                  </a:schemeClr>
                </a:solidFill>
              </a:rPr>
              <a:t>Contributions à l'évolution des dépenses selon la branche en 2022</a:t>
            </a:r>
            <a:r>
              <a:rPr lang="fr-FR" sz="1050" baseline="0">
                <a:solidFill>
                  <a:schemeClr val="accent1">
                    <a:lumMod val="50000"/>
                  </a:schemeClr>
                </a:solidFill>
              </a:rPr>
              <a:t> </a:t>
            </a:r>
            <a:r>
              <a:rPr lang="fr-FR" sz="1050" b="0">
                <a:solidFill>
                  <a:schemeClr val="accent1">
                    <a:lumMod val="50000"/>
                  </a:schemeClr>
                </a:solidFill>
              </a:rPr>
              <a:t>(Total : -5,5 points)</a:t>
            </a:r>
          </a:p>
        </c:rich>
      </c:tx>
      <c:layout>
        <c:manualLayout>
          <c:xMode val="edge"/>
          <c:yMode val="edge"/>
          <c:x val="0.14531448629162319"/>
          <c:y val="1.61598784573550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'%charges'!$A$37</c:f>
              <c:strCache>
                <c:ptCount val="1"/>
                <c:pt idx="0">
                  <c:v>MALADIE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12C-4341-BFB8-ECDD20536B3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12C-4341-BFB8-ECDD20536B3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112C-4341-BFB8-ECDD20536B3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112C-4341-BFB8-ECDD20536B3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112C-4341-BFB8-ECDD20536B3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112C-4341-BFB8-ECDD20536B3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112C-4341-BFB8-ECDD20536B35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'%charges'!$H$37</c:f>
              <c:numCache>
                <c:formatCode>\+0.0;\-0.0</c:formatCode>
                <c:ptCount val="1"/>
                <c:pt idx="0">
                  <c:v>1.5021275029071757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2C-4341-BFB8-ECDD20536B35}"/>
            </c:ext>
          </c:extLst>
        </c:ser>
        <c:ser>
          <c:idx val="1"/>
          <c:order val="1"/>
          <c:tx>
            <c:strRef>
              <c:f>'%charges'!$A$38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112C-4341-BFB8-ECDD20536B3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112C-4341-BFB8-ECDD20536B3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112C-4341-BFB8-ECDD20536B3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112C-4341-BFB8-ECDD20536B3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112C-4341-BFB8-ECDD20536B35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/>
                      <a:t>-0,2</a:t>
                    </a:r>
                  </a:p>
                </c:rich>
              </c:tx>
              <c:spPr>
                <a:solidFill>
                  <a:schemeClr val="accent1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17-112C-4341-BFB8-ECDD20536B35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'%charges'!$H$38</c:f>
              <c:numCache>
                <c:formatCode>\+0.0;\-0.0</c:formatCode>
                <c:ptCount val="1"/>
                <c:pt idx="0">
                  <c:v>0.10154125877404156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12C-4341-BFB8-ECDD20536B35}"/>
            </c:ext>
          </c:extLst>
        </c:ser>
        <c:ser>
          <c:idx val="4"/>
          <c:order val="2"/>
          <c:tx>
            <c:strRef>
              <c:f>'%charges'!$A$39</c:f>
              <c:strCache>
                <c:ptCount val="1"/>
                <c:pt idx="0">
                  <c:v>FAMILLE</c:v>
                </c:pt>
              </c:strCache>
            </c:strRef>
          </c:tx>
          <c:spPr>
            <a:pattFill prst="pct7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A-112C-4341-BFB8-ECDD20536B35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C-112C-4341-BFB8-ECDD20536B35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E-112C-4341-BFB8-ECDD20536B35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0-112C-4341-BFB8-ECDD20536B35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2-112C-4341-BFB8-ECDD20536B35}"/>
              </c:ext>
            </c:extLst>
          </c:dPt>
          <c:dPt>
            <c:idx val="6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4-112C-4341-BFB8-ECDD20536B35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'%charges'!$H$39</c:f>
              <c:numCache>
                <c:formatCode>\+0.0;\-0.0</c:formatCode>
                <c:ptCount val="1"/>
                <c:pt idx="0">
                  <c:v>0.46658364397349983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112C-4341-BFB8-ECDD20536B35}"/>
            </c:ext>
          </c:extLst>
        </c:ser>
        <c:ser>
          <c:idx val="3"/>
          <c:order val="3"/>
          <c:tx>
            <c:strRef>
              <c:f>'%charges'!$A$40</c:f>
              <c:strCache>
                <c:ptCount val="1"/>
                <c:pt idx="0">
                  <c:v>RETRAITE</c:v>
                </c:pt>
              </c:strCache>
            </c:strRef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7-112C-4341-BFB8-ECDD20536B35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9-112C-4341-BFB8-ECDD20536B35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B-112C-4341-BFB8-ECDD20536B35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D-112C-4341-BFB8-ECDD20536B35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F-112C-4341-BFB8-ECDD20536B35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'%charges'!$H$40</c:f>
              <c:numCache>
                <c:formatCode>\+0.0;\-0.0</c:formatCode>
                <c:ptCount val="1"/>
                <c:pt idx="0">
                  <c:v>0.58767119146736946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112C-4341-BFB8-ECDD20536B35}"/>
            </c:ext>
          </c:extLst>
        </c:ser>
        <c:ser>
          <c:idx val="2"/>
          <c:order val="4"/>
          <c:tx>
            <c:strRef>
              <c:f>'%charges'!$A$41</c:f>
              <c:strCache>
                <c:ptCount val="1"/>
                <c:pt idx="0">
                  <c:v>SASPA</c:v>
                </c:pt>
              </c:strCache>
            </c:strRef>
          </c:tx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'%charges'!$H$41</c:f>
              <c:numCache>
                <c:formatCode>\+0.0;\-0.0</c:formatCode>
                <c:ptCount val="1"/>
                <c:pt idx="0">
                  <c:v>0.11886651187657626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112C-4341-BFB8-ECDD20536B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9702760"/>
        <c:axId val="129203040"/>
        <c:extLst/>
      </c:barChart>
      <c:catAx>
        <c:axId val="129702760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high"/>
        <c:crossAx val="129203040"/>
        <c:crosses val="autoZero"/>
        <c:auto val="1"/>
        <c:lblAlgn val="ctr"/>
        <c:lblOffset val="100"/>
        <c:noMultiLvlLbl val="0"/>
      </c:catAx>
      <c:valAx>
        <c:axId val="129203040"/>
        <c:scaling>
          <c:orientation val="minMax"/>
          <c:max val="4"/>
          <c:min val="-2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50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0398715931227362E-2"/>
              <c:y val="0.1889399416632628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12970276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3029037368368077"/>
          <c:y val="0.86292054387110106"/>
          <c:w val="0.65227984038616604"/>
          <c:h val="9.7405894156613396E-2"/>
        </c:manualLayout>
      </c:layout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100">
                <a:solidFill>
                  <a:schemeClr val="accent1">
                    <a:lumMod val="50000"/>
                  </a:schemeClr>
                </a:solidFill>
              </a:rPr>
              <a:t>Principales contributions à l'évolution des dépenses en 2022</a:t>
            </a:r>
          </a:p>
          <a:p>
            <a:pPr>
              <a:defRPr sz="11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100" b="0">
                <a:solidFill>
                  <a:schemeClr val="accent1">
                    <a:lumMod val="50000"/>
                  </a:schemeClr>
                </a:solidFill>
              </a:rPr>
              <a:t>(Total : +2,8 points)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40481537492165"/>
          <c:y val="0.21928289705432266"/>
          <c:w val="0.84677119753940122"/>
          <c:h val="0.51530503232597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'%charges'!$H$12</c:f>
              <c:strCache>
                <c:ptCount val="1"/>
                <c:pt idx="0">
                  <c:v>Prestations légales (+4,1%)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D10-4EE0-9DFC-9B70B737124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10-4EE0-9DFC-9B70B737124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8D10-4EE0-9DFC-9B70B737124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8D10-4EE0-9DFC-9B70B737124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8D10-4EE0-9DFC-9B70B737124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8D10-4EE0-9DFC-9B70B737124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8D10-4EE0-9DFC-9B70B737124E}"/>
              </c:ext>
            </c:extLst>
          </c:dPt>
          <c:dLbls>
            <c:dLbl>
              <c:idx val="0"/>
              <c:layout>
                <c:manualLayout>
                  <c:x val="0"/>
                  <c:y val="0.140052279963744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10-4EE0-9DFC-9B70B737124E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Contri croiss</c:v>
              </c:pt>
            </c:strLit>
          </c:cat>
          <c:val>
            <c:numRef>
              <c:f>'%charges'!$I$12</c:f>
              <c:numCache>
                <c:formatCode>\+0.0;\-0.0</c:formatCode>
                <c:ptCount val="1"/>
                <c:pt idx="0">
                  <c:v>3.5309508791677962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10-4EE0-9DFC-9B70B737124E}"/>
            </c:ext>
          </c:extLst>
        </c:ser>
        <c:ser>
          <c:idx val="1"/>
          <c:order val="1"/>
          <c:tx>
            <c:strRef>
              <c:f>'%charges'!$H$13</c:f>
              <c:strCache>
                <c:ptCount val="1"/>
                <c:pt idx="0">
                  <c:v>Charges techniques (-25,7%)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8D10-4EE0-9DFC-9B70B737124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8D10-4EE0-9DFC-9B70B737124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8D10-4EE0-9DFC-9B70B737124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8D10-4EE0-9DFC-9B70B737124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8D10-4EE0-9DFC-9B70B737124E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Contri croiss</c:v>
              </c:pt>
            </c:strLit>
          </c:cat>
          <c:val>
            <c:numRef>
              <c:f>'%charges'!$I$13</c:f>
              <c:numCache>
                <c:formatCode>\+0.0;\-0.0</c:formatCode>
                <c:ptCount val="1"/>
                <c:pt idx="0">
                  <c:v>-1.0733056207397309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D10-4EE0-9DFC-9B70B737124E}"/>
            </c:ext>
          </c:extLst>
        </c:ser>
        <c:ser>
          <c:idx val="4"/>
          <c:order val="2"/>
          <c:tx>
            <c:strRef>
              <c:f>'%charges'!$H$14</c:f>
              <c:strCache>
                <c:ptCount val="1"/>
                <c:pt idx="0">
                  <c:v>Dotations aux provisions (-4,9%)</c:v>
                </c:pt>
              </c:strCache>
            </c:strRef>
          </c:tx>
          <c:spPr>
            <a:pattFill prst="pct50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8D10-4EE0-9DFC-9B70B737124E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8D10-4EE0-9DFC-9B70B737124E}"/>
              </c:ext>
            </c:extLst>
          </c:dPt>
          <c:dPt>
            <c:idx val="3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8D10-4EE0-9DFC-9B70B737124E}"/>
              </c:ext>
            </c:extLst>
          </c:dPt>
          <c:dPt>
            <c:idx val="4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8D10-4EE0-9DFC-9B70B737124E}"/>
              </c:ext>
            </c:extLst>
          </c:dPt>
          <c:dPt>
            <c:idx val="5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8D10-4EE0-9DFC-9B70B737124E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3-8D10-4EE0-9DFC-9B70B737124E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Contri croiss</c:v>
              </c:pt>
            </c:strLit>
          </c:cat>
          <c:val>
            <c:numRef>
              <c:f>'%charges'!$I$14</c:f>
              <c:numCache>
                <c:formatCode>\+0.0;\-0.0</c:formatCode>
                <c:ptCount val="1"/>
                <c:pt idx="0">
                  <c:v>-0.2590120216205028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D10-4EE0-9DFC-9B70B737124E}"/>
            </c:ext>
          </c:extLst>
        </c:ser>
        <c:ser>
          <c:idx val="3"/>
          <c:order val="3"/>
          <c:tx>
            <c:strRef>
              <c:f>'%charges'!$H$15</c:f>
              <c:strCache>
                <c:ptCount val="1"/>
                <c:pt idx="0">
                  <c:v>Prestations extra-légales (+74,0%)</c:v>
                </c:pt>
              </c:strCache>
              <c:extLst xmlns:c15="http://schemas.microsoft.com/office/drawing/2012/chart"/>
            </c:strRef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8D10-4EE0-9DFC-9B70B737124E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8D10-4EE0-9DFC-9B70B737124E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8D10-4EE0-9DFC-9B70B737124E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8D10-4EE0-9DFC-9B70B737124E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E-8D10-4EE0-9DFC-9B70B737124E}"/>
              </c:ext>
            </c:extLst>
          </c:dPt>
          <c:dLbls>
            <c:dLbl>
              <c:idx val="0"/>
              <c:layout>
                <c:manualLayout>
                  <c:x val="1.190476413662611E-2"/>
                  <c:y val="-2.0071580920499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D10-4EE0-9DFC-9B70B737124E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Contri croiss</c:v>
              </c:pt>
            </c:strLit>
          </c:cat>
          <c:val>
            <c:numRef>
              <c:f>'%charges'!$I$15</c:f>
              <c:numCache>
                <c:formatCode>\+0.0;\-0.0</c:formatCode>
                <c:ptCount val="1"/>
                <c:pt idx="0">
                  <c:v>0.52914790003827183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0-8D10-4EE0-9DFC-9B70B737124E}"/>
            </c:ext>
          </c:extLst>
        </c:ser>
        <c:ser>
          <c:idx val="2"/>
          <c:order val="4"/>
          <c:tx>
            <c:strRef>
              <c:f>'%charges'!$H$17</c:f>
              <c:strCache>
                <c:ptCount val="1"/>
                <c:pt idx="0">
                  <c:v>Charges financières (+72,7%)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2-8D10-4EE0-9DFC-9B70B737124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4-8D10-4EE0-9DFC-9B70B737124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6-8D10-4EE0-9DFC-9B70B737124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8-8D10-4EE0-9DFC-9B70B737124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A-8D10-4EE0-9DFC-9B70B737124E}"/>
              </c:ext>
            </c:extLst>
          </c:dPt>
          <c:dLbls>
            <c:dLbl>
              <c:idx val="0"/>
              <c:layout>
                <c:manualLayout>
                  <c:x val="-4.7619056546504791E-3"/>
                  <c:y val="3.951254167585333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8D10-4EE0-9DFC-9B70B737124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Contri croiss</c:v>
              </c:pt>
            </c:strLit>
          </c:cat>
          <c:val>
            <c:numLit>
              <c:formatCode>\+0.0;\-0.0</c:formatCode>
              <c:ptCount val="1"/>
              <c:pt idx="0">
                <c:v>-2.3363477713870644E-3</c:v>
              </c:pt>
            </c:numLit>
          </c:val>
          <c:extLst>
            <c:ext xmlns:c16="http://schemas.microsoft.com/office/drawing/2014/chart" uri="{C3380CC4-5D6E-409C-BE32-E72D297353CC}">
              <c16:uniqueId val="{0000003C-8D10-4EE0-9DFC-9B70B737124E}"/>
            </c:ext>
          </c:extLst>
        </c:ser>
        <c:ser>
          <c:idx val="6"/>
          <c:order val="5"/>
          <c:tx>
            <c:strRef>
              <c:f>'%charges'!$H$16</c:f>
              <c:strCache>
                <c:ptCount val="1"/>
                <c:pt idx="0">
                  <c:v>Gestion (+1,2%)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Contri croiss</c:v>
              </c:pt>
            </c:strLit>
          </c:cat>
          <c:val>
            <c:numRef>
              <c:f>'%charges'!$I$16</c:f>
              <c:numCache>
                <c:formatCode>\+0.00;\-0.00</c:formatCode>
                <c:ptCount val="1"/>
                <c:pt idx="0">
                  <c:v>5.6488477143371497E-2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D-8D10-4EE0-9DFC-9B70B737124E}"/>
            </c:ext>
          </c:extLst>
        </c:ser>
        <c:ser>
          <c:idx val="5"/>
          <c:order val="6"/>
          <c:tx>
            <c:strRef>
              <c:f>'%charges'!$H$18</c:f>
              <c:strCache>
                <c:ptCount val="1"/>
                <c:pt idx="0">
                  <c:v>Autres charges (-100%)</c:v>
                </c:pt>
              </c:strCache>
              <c:extLst xmlns:c15="http://schemas.microsoft.com/office/drawing/2012/chart"/>
            </c:strRef>
          </c:tx>
          <c:invertIfNegative val="0"/>
          <c:dLbls>
            <c:dLbl>
              <c:idx val="0"/>
              <c:layout>
                <c:manualLayout>
                  <c:x val="0"/>
                  <c:y val="3.951254167585333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8D10-4EE0-9DFC-9B70B737124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Lit>
              <c:formatCode>\+0.0;\-0.0</c:formatCode>
              <c:ptCount val="1"/>
              <c:pt idx="0">
                <c:v>-8.7306411314768957E-4</c:v>
              </c:pt>
            </c:numLit>
          </c:val>
          <c:extLst>
            <c:ext xmlns:c16="http://schemas.microsoft.com/office/drawing/2014/chart" uri="{C3380CC4-5D6E-409C-BE32-E72D297353CC}">
              <c16:uniqueId val="{0000003F-8D10-4EE0-9DFC-9B70B73712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971144"/>
        <c:axId val="454724568"/>
        <c:extLst/>
      </c:barChart>
      <c:catAx>
        <c:axId val="36971144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high"/>
        <c:crossAx val="454724568"/>
        <c:crosses val="autoZero"/>
        <c:auto val="1"/>
        <c:lblAlgn val="ctr"/>
        <c:lblOffset val="100"/>
        <c:noMultiLvlLbl val="0"/>
      </c:catAx>
      <c:valAx>
        <c:axId val="454724568"/>
        <c:scaling>
          <c:orientation val="minMax"/>
          <c:max val="6"/>
          <c:min val="-4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50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1.883307961702092E-2"/>
              <c:y val="0.1688360031803599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697114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8.0746926554223549E-3"/>
          <c:y val="0.77125731015861454"/>
          <c:w val="0.97735183376493651"/>
          <c:h val="0.1973117920314012"/>
        </c:manualLayout>
      </c:layout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07-4FE1-94F4-E8D70699C635}"/>
              </c:ext>
            </c:extLst>
          </c:dPt>
          <c:dPt>
            <c:idx val="1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07-4FE1-94F4-E8D70699C635}"/>
              </c:ext>
            </c:extLst>
          </c:dPt>
          <c:dPt>
            <c:idx val="2"/>
            <c:bubble3D val="0"/>
            <c:spPr>
              <a:solidFill>
                <a:schemeClr val="accent1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07-4FE1-94F4-E8D70699C635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07-4FE1-94F4-E8D70699C635}"/>
              </c:ext>
            </c:extLst>
          </c:dPt>
          <c:dPt>
            <c:idx val="4"/>
            <c:bubble3D val="0"/>
            <c:spPr>
              <a:solidFill>
                <a:schemeClr val="accent1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07-4FE1-94F4-E8D70699C635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207-4FE1-94F4-E8D70699C635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207-4FE1-94F4-E8D70699C635}"/>
              </c:ext>
            </c:extLst>
          </c:dPt>
          <c:dLbls>
            <c:dLbl>
              <c:idx val="0"/>
              <c:layout>
                <c:manualLayout>
                  <c:x val="-0.15072738034321467"/>
                  <c:y val="-0.240951936747158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07-4FE1-94F4-E8D70699C635}"/>
                </c:ext>
              </c:extLst>
            </c:dLbl>
            <c:dLbl>
              <c:idx val="1"/>
              <c:layout>
                <c:manualLayout>
                  <c:x val="0.17377735426383803"/>
                  <c:y val="-8.77708848646018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07-4FE1-94F4-E8D70699C635}"/>
                </c:ext>
              </c:extLst>
            </c:dLbl>
            <c:dLbl>
              <c:idx val="2"/>
              <c:layout>
                <c:manualLayout>
                  <c:x val="0.15345052409850043"/>
                  <c:y val="0.1994237269203464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07-4FE1-94F4-E8D70699C635}"/>
                </c:ext>
              </c:extLst>
            </c:dLbl>
            <c:dLbl>
              <c:idx val="3"/>
              <c:layout>
                <c:manualLayout>
                  <c:x val="-0.29632537540015519"/>
                  <c:y val="3.9116777660634053E-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871011448862171"/>
                      <c:h val="0.122108633560463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207-4FE1-94F4-E8D70699C635}"/>
                </c:ext>
              </c:extLst>
            </c:dLbl>
            <c:dLbl>
              <c:idx val="4"/>
              <c:layout>
                <c:manualLayout>
                  <c:x val="4.8989417724058376E-2"/>
                  <c:y val="1.31891406544520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07-4FE1-94F4-E8D70699C635}"/>
                </c:ext>
              </c:extLst>
            </c:dLbl>
            <c:dLbl>
              <c:idx val="5"/>
              <c:layout>
                <c:manualLayout>
                  <c:x val="6.7977707067551655E-3"/>
                  <c:y val="4.8729873678911691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Prise en charge de cotisations et</a:t>
                    </a:r>
                    <a:r>
                      <a:rPr lang="en-US" sz="1000" baseline="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 prestations</a:t>
                    </a:r>
                    <a:r>
                      <a:rPr lang="en-US" sz="10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
3,5%</a:t>
                    </a:r>
                    <a:endParaRPr lang="en-US" sz="10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477370695595826"/>
                      <c:h val="0.1593738693943527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B-0207-4FE1-94F4-E8D70699C635}"/>
                </c:ext>
              </c:extLst>
            </c:dLbl>
            <c:dLbl>
              <c:idx val="6"/>
              <c:layout>
                <c:manualLayout>
                  <c:x val="1.6536102224999846E-2"/>
                  <c:y val="6.6734935505666421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Cotisations prises en charge par l'Etat
3,5%</a:t>
                    </a:r>
                    <a:endParaRPr lang="en-US" sz="10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0207-4FE1-94F4-E8D70699C63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'%produits'!$A$16:$A$22</c:f>
              <c:strCache>
                <c:ptCount val="7"/>
                <c:pt idx="0">
                  <c:v>Cotisations sociales</c:v>
                </c:pt>
                <c:pt idx="1">
                  <c:v>Compensation démographique</c:v>
                </c:pt>
                <c:pt idx="2">
                  <c:v>Contributions du régime général</c:v>
                </c:pt>
                <c:pt idx="3">
                  <c:v>Contribution sociale généralisée</c:v>
                </c:pt>
                <c:pt idx="4">
                  <c:v>Autres produits + ITAF</c:v>
                </c:pt>
                <c:pt idx="5">
                  <c:v>Prise en charge de cotisations et prestations</c:v>
                </c:pt>
                <c:pt idx="6">
                  <c:v>Cotisations prises en charge par l'Etat</c:v>
                </c:pt>
              </c:strCache>
            </c:strRef>
          </c:cat>
          <c:val>
            <c:numRef>
              <c:f>'%produits'!$C$16:$C$22</c:f>
              <c:numCache>
                <c:formatCode>#\ ##0.0</c:formatCode>
                <c:ptCount val="7"/>
                <c:pt idx="0">
                  <c:v>5944.3958786200001</c:v>
                </c:pt>
                <c:pt idx="1">
                  <c:v>2497</c:v>
                </c:pt>
                <c:pt idx="2">
                  <c:v>2789.0717050599997</c:v>
                </c:pt>
                <c:pt idx="3">
                  <c:v>1078.72517984</c:v>
                </c:pt>
                <c:pt idx="4">
                  <c:v>1484.7048186899988</c:v>
                </c:pt>
                <c:pt idx="5">
                  <c:v>1202.6256657700001</c:v>
                </c:pt>
                <c:pt idx="6">
                  <c:v>525.67262819000007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207-4FE1-94F4-E8D70699C6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'%produits'!$B$54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'%produits'!$A$55:$A$60</c:f>
              <c:strCache>
                <c:ptCount val="6"/>
                <c:pt idx="0">
                  <c:v>MALADIE</c:v>
                </c:pt>
                <c:pt idx="1">
                  <c:v>AT</c:v>
                </c:pt>
                <c:pt idx="2">
                  <c:v>FAMILLE</c:v>
                </c:pt>
                <c:pt idx="3">
                  <c:v>RETRAITE</c:v>
                </c:pt>
                <c:pt idx="4">
                  <c:v>SASPA</c:v>
                </c:pt>
                <c:pt idx="5">
                  <c:v>Total RECETTES</c:v>
                </c:pt>
              </c:strCache>
            </c:strRef>
          </c:cat>
          <c:val>
            <c:numRef>
              <c:f>'%produits'!$B$55:$B$60</c:f>
              <c:numCache>
                <c:formatCode>#\ ##0.0</c:formatCode>
                <c:ptCount val="6"/>
                <c:pt idx="0">
                  <c:v>5880.6084375600003</c:v>
                </c:pt>
                <c:pt idx="1">
                  <c:v>756.70264492000001</c:v>
                </c:pt>
                <c:pt idx="2">
                  <c:v>953.31687942999986</c:v>
                </c:pt>
                <c:pt idx="3">
                  <c:v>6805.3324983500006</c:v>
                </c:pt>
                <c:pt idx="4">
                  <c:v>679.87717814999996</c:v>
                </c:pt>
                <c:pt idx="5">
                  <c:v>15075.837638410001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0-4149-BE22-869E543BC5A6}"/>
            </c:ext>
          </c:extLst>
        </c:ser>
        <c:ser>
          <c:idx val="1"/>
          <c:order val="1"/>
          <c:tx>
            <c:strRef>
              <c:f>'%produits'!$C$54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3888888888888888E-2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50-4149-BE22-869E543BC5A6}"/>
                </c:ext>
              </c:extLst>
            </c:dLbl>
            <c:dLbl>
              <c:idx val="1"/>
              <c:layout>
                <c:manualLayout>
                  <c:x val="5.5555555555555558E-3"/>
                  <c:y val="-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50-4149-BE22-869E543BC5A6}"/>
                </c:ext>
              </c:extLst>
            </c:dLbl>
            <c:dLbl>
              <c:idx val="2"/>
              <c:layout>
                <c:manualLayout>
                  <c:x val="-5.0925337632079971E-17"/>
                  <c:y val="-3.24074074074074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50-4149-BE22-869E543BC5A6}"/>
                </c:ext>
              </c:extLst>
            </c:dLbl>
            <c:dLbl>
              <c:idx val="3"/>
              <c:layout>
                <c:manualLayout>
                  <c:x val="-2.6625717428474969E-3"/>
                  <c:y val="-5.5555555555555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50-4149-BE22-869E543BC5A6}"/>
                </c:ext>
              </c:extLst>
            </c:dLbl>
            <c:dLbl>
              <c:idx val="4"/>
              <c:layout>
                <c:manualLayout>
                  <c:x val="-1.0185067526415994E-16"/>
                  <c:y val="-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50-4149-BE22-869E543BC5A6}"/>
                </c:ext>
              </c:extLst>
            </c:dLbl>
            <c:dLbl>
              <c:idx val="5"/>
              <c:layout>
                <c:manualLayout>
                  <c:x val="2.5000000000000001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50-4149-BE22-869E543BC5A6}"/>
                </c:ext>
              </c:extLst>
            </c:dLbl>
            <c:numFmt formatCode="#,##0.0\ &quot;M&quot;&quot;€&quot;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'%produits'!$A$55:$A$60</c:f>
              <c:strCache>
                <c:ptCount val="6"/>
                <c:pt idx="0">
                  <c:v>MALADIE</c:v>
                </c:pt>
                <c:pt idx="1">
                  <c:v>AT</c:v>
                </c:pt>
                <c:pt idx="2">
                  <c:v>FAMILLE</c:v>
                </c:pt>
                <c:pt idx="3">
                  <c:v>RETRAITE</c:v>
                </c:pt>
                <c:pt idx="4">
                  <c:v>SASPA</c:v>
                </c:pt>
                <c:pt idx="5">
                  <c:v>Total RECETTES</c:v>
                </c:pt>
              </c:strCache>
            </c:strRef>
          </c:cat>
          <c:val>
            <c:numRef>
              <c:f>'%produits'!$C$55:$C$60</c:f>
              <c:numCache>
                <c:formatCode>#\ ##0.0</c:formatCode>
                <c:ptCount val="6"/>
                <c:pt idx="0">
                  <c:v>6106.6009445300006</c:v>
                </c:pt>
                <c:pt idx="1">
                  <c:v>800.57428067000001</c:v>
                </c:pt>
                <c:pt idx="2">
                  <c:v>1023.5135885699999</c:v>
                </c:pt>
                <c:pt idx="3">
                  <c:v>6893.7466213700009</c:v>
                </c:pt>
                <c:pt idx="4">
                  <c:v>697.76044103000004</c:v>
                </c:pt>
                <c:pt idx="5">
                  <c:v>15522.195876170001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50-4149-BE22-869E543BC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608704"/>
        <c:axId val="454607136"/>
      </c:barChart>
      <c:catAx>
        <c:axId val="454608704"/>
        <c:scaling>
          <c:orientation val="minMax"/>
        </c:scaling>
        <c:delete val="0"/>
        <c:axPos val="b"/>
        <c:majorGridlines>
          <c:spPr>
            <a:ln w="9525">
              <a:solidFill>
                <a:schemeClr val="accent1">
                  <a:lumMod val="5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54607136"/>
        <c:crosses val="autoZero"/>
        <c:auto val="1"/>
        <c:lblAlgn val="ctr"/>
        <c:lblOffset val="100"/>
        <c:noMultiLvlLbl val="0"/>
      </c:catAx>
      <c:valAx>
        <c:axId val="454607136"/>
        <c:scaling>
          <c:orientation val="minMax"/>
          <c:max val="16000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54608704"/>
        <c:crosses val="autoZero"/>
        <c:crossBetween val="between"/>
        <c:majorUnit val="2000"/>
      </c:valAx>
    </c:plotArea>
    <c:legend>
      <c:legendPos val="r"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050">
                <a:solidFill>
                  <a:schemeClr val="accent1">
                    <a:lumMod val="50000"/>
                  </a:schemeClr>
                </a:solidFill>
              </a:rPr>
              <a:t>Contributions à l'évolution des recettes selon la branche en 2022</a:t>
            </a:r>
          </a:p>
          <a:p>
            <a:pPr>
              <a:defRPr sz="105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050" b="0">
                <a:solidFill>
                  <a:schemeClr val="accent1">
                    <a:lumMod val="50000"/>
                  </a:schemeClr>
                </a:solidFill>
              </a:rPr>
              <a:t>(Total : + 3,0</a:t>
            </a:r>
            <a:r>
              <a:rPr lang="fr-FR" sz="1050" b="0" baseline="0">
                <a:solidFill>
                  <a:schemeClr val="accent1">
                    <a:lumMod val="50000"/>
                  </a:schemeClr>
                </a:solidFill>
              </a:rPr>
              <a:t> </a:t>
            </a:r>
            <a:r>
              <a:rPr lang="fr-FR" sz="1050" b="0">
                <a:solidFill>
                  <a:schemeClr val="accent1">
                    <a:lumMod val="50000"/>
                  </a:schemeClr>
                </a:solidFill>
              </a:rPr>
              <a:t>points)</a:t>
            </a:r>
          </a:p>
        </c:rich>
      </c:tx>
      <c:layout>
        <c:manualLayout>
          <c:xMode val="edge"/>
          <c:yMode val="edge"/>
          <c:x val="0.14531448629162319"/>
          <c:y val="1.61598784573550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67321652564"/>
          <c:y val="0.21813043080128991"/>
          <c:w val="0.85338222244814399"/>
          <c:h val="0.61904225682095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'%produits'!$A$55</c:f>
              <c:strCache>
                <c:ptCount val="1"/>
                <c:pt idx="0">
                  <c:v>MALADIE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0-4366-817E-25045D3A2D2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0-4366-817E-25045D3A2D2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A760-4366-817E-25045D3A2D2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A760-4366-817E-25045D3A2D2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A760-4366-817E-25045D3A2D2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A760-4366-817E-25045D3A2D2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A760-4366-817E-25045D3A2D25}"/>
              </c:ext>
            </c:extLst>
          </c:dPt>
          <c:dLbls>
            <c:dLbl>
              <c:idx val="0"/>
              <c:layout>
                <c:manualLayout>
                  <c:x val="5.3586656163119471E-3"/>
                  <c:y val="1.58329431313096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60-4366-817E-25045D3A2D25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'%produits'!$F$55</c:f>
              <c:numCache>
                <c:formatCode>\+0.0;\-0.0</c:formatCode>
                <c:ptCount val="1"/>
                <c:pt idx="0">
                  <c:v>1.4990378139534959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60-4366-817E-25045D3A2D25}"/>
            </c:ext>
          </c:extLst>
        </c:ser>
        <c:ser>
          <c:idx val="1"/>
          <c:order val="1"/>
          <c:tx>
            <c:strRef>
              <c:f>'%produits'!$A$56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A760-4366-817E-25045D3A2D2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A760-4366-817E-25045D3A2D2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A760-4366-817E-25045D3A2D2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A760-4366-817E-25045D3A2D2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A760-4366-817E-25045D3A2D25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'%produits'!$F$56</c:f>
              <c:numCache>
                <c:formatCode>\+0.0;\-0.0</c:formatCode>
                <c:ptCount val="1"/>
                <c:pt idx="0">
                  <c:v>0.29100628968187126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760-4366-817E-25045D3A2D25}"/>
            </c:ext>
          </c:extLst>
        </c:ser>
        <c:ser>
          <c:idx val="4"/>
          <c:order val="2"/>
          <c:tx>
            <c:strRef>
              <c:f>'%produits'!$A$57</c:f>
              <c:strCache>
                <c:ptCount val="1"/>
                <c:pt idx="0">
                  <c:v>FAMILLE</c:v>
                </c:pt>
              </c:strCache>
            </c:strRef>
          </c:tx>
          <c:spPr>
            <a:pattFill prst="pct7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A760-4366-817E-25045D3A2D25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A760-4366-817E-25045D3A2D25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A760-4366-817E-25045D3A2D25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A760-4366-817E-25045D3A2D25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A760-4366-817E-25045D3A2D25}"/>
              </c:ext>
            </c:extLst>
          </c:dPt>
          <c:dPt>
            <c:idx val="6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3-A760-4366-817E-25045D3A2D25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'%produits'!$F$57</c:f>
              <c:numCache>
                <c:formatCode>\+0.0;\-0.0</c:formatCode>
                <c:ptCount val="1"/>
                <c:pt idx="0">
                  <c:v>0.46562393960222737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760-4366-817E-25045D3A2D25}"/>
            </c:ext>
          </c:extLst>
        </c:ser>
        <c:ser>
          <c:idx val="3"/>
          <c:order val="3"/>
          <c:tx>
            <c:strRef>
              <c:f>'%produits'!$A$58</c:f>
              <c:strCache>
                <c:ptCount val="1"/>
                <c:pt idx="0">
                  <c:v>RETRAITE</c:v>
                </c:pt>
              </c:strCache>
            </c:strRef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A760-4366-817E-25045D3A2D25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A760-4366-817E-25045D3A2D25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A760-4366-817E-25045D3A2D25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A760-4366-817E-25045D3A2D25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E-A760-4366-817E-25045D3A2D25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'%produits'!$F$58</c:f>
              <c:numCache>
                <c:formatCode>\+0.0;\-0.0</c:formatCode>
                <c:ptCount val="1"/>
                <c:pt idx="0">
                  <c:v>0.58646242511089253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760-4366-817E-25045D3A2D25}"/>
            </c:ext>
          </c:extLst>
        </c:ser>
        <c:ser>
          <c:idx val="2"/>
          <c:order val="4"/>
          <c:tx>
            <c:strRef>
              <c:f>'%produits'!$A$59</c:f>
              <c:strCache>
                <c:ptCount val="1"/>
                <c:pt idx="0">
                  <c:v>SASPA</c:v>
                </c:pt>
              </c:strCache>
            </c:strRef>
          </c:tx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fr-FR"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'%produits'!$F$59</c:f>
              <c:numCache>
                <c:formatCode>\+0.0;\-0.0</c:formatCode>
                <c:ptCount val="1"/>
                <c:pt idx="0">
                  <c:v>0.11862201828465802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A760-4366-817E-25045D3A2D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4610272"/>
        <c:axId val="454609096"/>
        <c:extLst/>
      </c:barChart>
      <c:catAx>
        <c:axId val="454610272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high"/>
        <c:crossAx val="454609096"/>
        <c:crosses val="autoZero"/>
        <c:auto val="1"/>
        <c:lblAlgn val="ctr"/>
        <c:lblOffset val="100"/>
        <c:noMultiLvlLbl val="0"/>
      </c:catAx>
      <c:valAx>
        <c:axId val="454609096"/>
        <c:scaling>
          <c:orientation val="minMax"/>
          <c:max val="2"/>
          <c:min val="-1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50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2.7721385198148343E-2"/>
              <c:y val="0.149011741626470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54610272"/>
        <c:crosses val="autoZero"/>
        <c:crossBetween val="between"/>
        <c:majorUnit val="1"/>
      </c:valAx>
    </c:plotArea>
    <c:legend>
      <c:legendPos val="b"/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</xdr:colOff>
      <xdr:row>2</xdr:row>
      <xdr:rowOff>138112</xdr:rowOff>
    </xdr:from>
    <xdr:to>
      <xdr:col>13</xdr:col>
      <xdr:colOff>33337</xdr:colOff>
      <xdr:row>20</xdr:row>
      <xdr:rowOff>90487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154781</xdr:colOff>
      <xdr:row>22</xdr:row>
      <xdr:rowOff>11907</xdr:rowOff>
    </xdr:from>
    <xdr:to>
      <xdr:col>7</xdr:col>
      <xdr:colOff>488156</xdr:colOff>
      <xdr:row>40</xdr:row>
      <xdr:rowOff>164307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47890</xdr:rowOff>
    </xdr:from>
    <xdr:to>
      <xdr:col>4</xdr:col>
      <xdr:colOff>300037</xdr:colOff>
      <xdr:row>32</xdr:row>
      <xdr:rowOff>87578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34</xdr:row>
      <xdr:rowOff>76200</xdr:rowOff>
    </xdr:from>
    <xdr:to>
      <xdr:col>17</xdr:col>
      <xdr:colOff>57150</xdr:colOff>
      <xdr:row>52</xdr:row>
      <xdr:rowOff>47625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9525</xdr:rowOff>
    </xdr:from>
    <xdr:to>
      <xdr:col>3</xdr:col>
      <xdr:colOff>414337</xdr:colOff>
      <xdr:row>60</xdr:row>
      <xdr:rowOff>100266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1047751</xdr:colOff>
      <xdr:row>18</xdr:row>
      <xdr:rowOff>54429</xdr:rowOff>
    </xdr:from>
    <xdr:to>
      <xdr:col>11</xdr:col>
      <xdr:colOff>312964</xdr:colOff>
      <xdr:row>33</xdr:row>
      <xdr:rowOff>135985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26</xdr:row>
      <xdr:rowOff>38100</xdr:rowOff>
    </xdr:from>
    <xdr:to>
      <xdr:col>6</xdr:col>
      <xdr:colOff>514350</xdr:colOff>
      <xdr:row>49</xdr:row>
      <xdr:rowOff>38101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685800</xdr:colOff>
      <xdr:row>39</xdr:row>
      <xdr:rowOff>76200</xdr:rowOff>
    </xdr:from>
    <xdr:to>
      <xdr:col>14</xdr:col>
      <xdr:colOff>200025</xdr:colOff>
      <xdr:row>56</xdr:row>
      <xdr:rowOff>66675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2181225</xdr:colOff>
      <xdr:row>62</xdr:row>
      <xdr:rowOff>57150</xdr:rowOff>
    </xdr:from>
    <xdr:to>
      <xdr:col>6</xdr:col>
      <xdr:colOff>314325</xdr:colOff>
      <xdr:row>76</xdr:row>
      <xdr:rowOff>147891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619125</xdr:colOff>
      <xdr:row>17</xdr:row>
      <xdr:rowOff>38099</xdr:rowOff>
    </xdr:from>
    <xdr:to>
      <xdr:col>13</xdr:col>
      <xdr:colOff>147205</xdr:colOff>
      <xdr:row>38</xdr:row>
      <xdr:rowOff>51954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85724</xdr:rowOff>
    </xdr:from>
    <xdr:to>
      <xdr:col>4</xdr:col>
      <xdr:colOff>304800</xdr:colOff>
      <xdr:row>30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714375</xdr:colOff>
      <xdr:row>14</xdr:row>
      <xdr:rowOff>69849</xdr:rowOff>
    </xdr:from>
    <xdr:to>
      <xdr:col>8</xdr:col>
      <xdr:colOff>1259416</xdr:colOff>
      <xdr:row>29</xdr:row>
      <xdr:rowOff>70908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365414</xdr:colOff>
      <xdr:row>1</xdr:row>
      <xdr:rowOff>0</xdr:rowOff>
    </xdr:from>
    <xdr:to>
      <xdr:col>14</xdr:col>
      <xdr:colOff>508289</xdr:colOff>
      <xdr:row>24</xdr:row>
      <xdr:rowOff>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666750</xdr:colOff>
      <xdr:row>40</xdr:row>
      <xdr:rowOff>95250</xdr:rowOff>
    </xdr:from>
    <xdr:to>
      <xdr:col>14</xdr:col>
      <xdr:colOff>161925</xdr:colOff>
      <xdr:row>57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CHANGES\MEFC_SDFT\TCDC\Pr&#233;visions_2023-2027\TCDC_PREVISIONS_2023-2027_S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1_REALISATIONS/2022/4%20-%20EFFECTIFS/TCDC_REALISATIONS_EFFECTIFS_2022_SA_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1_TCDC/Exercices%202023/4%20-%20Effectifs/TCDC_REALISATIONS_EFFECTIFS_2022_S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die"/>
      <sheetName val="AT"/>
      <sheetName val="Famille"/>
      <sheetName val="Vieillesse"/>
      <sheetName val="SASPA"/>
      <sheetName val="Feuil1"/>
      <sheetName val="Prev Cot Exo 2022"/>
      <sheetName val="Prev Cot Exo (2)"/>
      <sheetName val="Prev Cot Exo"/>
      <sheetName val="Solde Cot Exo"/>
      <sheetName val="Hypotheses"/>
      <sheetName val="allégts généraux 2022"/>
      <sheetName val="allégts généraux 2021"/>
      <sheetName val="allégts généraux 2020"/>
      <sheetName val="allégts généraux 2019"/>
      <sheetName val="PàR2021"/>
      <sheetName val="PàR2020"/>
      <sheetName val="PàR2019"/>
      <sheetName val="PàR2018"/>
      <sheetName val="allégts généraux 2018"/>
      <sheetName val="allégts généraux 2017"/>
      <sheetName val="recettes"/>
      <sheetName val="compens"/>
      <sheetName val="Contribution RG"/>
      <sheetName val="Synthese"/>
      <sheetName val="Soldes Tech Gest"/>
      <sheetName val="Resultat NSA+SA"/>
      <sheetName val="Commentaire"/>
      <sheetName val="CPSS"/>
    </sheetNames>
    <sheetDataSet>
      <sheetData sheetId="0">
        <row r="11">
          <cell r="H11">
            <v>4790.7859864800002</v>
          </cell>
          <cell r="I11">
            <v>5003.2817609400008</v>
          </cell>
        </row>
        <row r="250">
          <cell r="H250">
            <v>10.738475960000001</v>
          </cell>
          <cell r="I250">
            <v>18.713454219999999</v>
          </cell>
        </row>
        <row r="253">
          <cell r="H253">
            <v>2684.8293950799998</v>
          </cell>
          <cell r="I253">
            <v>2740.6044712799999</v>
          </cell>
        </row>
      </sheetData>
      <sheetData sheetId="1">
        <row r="11">
          <cell r="H11">
            <v>561.32168511999998</v>
          </cell>
          <cell r="I11">
            <v>577.90458353999998</v>
          </cell>
        </row>
        <row r="207">
          <cell r="H207">
            <v>111.93729999999999</v>
          </cell>
          <cell r="I207">
            <v>131.805543</v>
          </cell>
        </row>
        <row r="208">
          <cell r="H208">
            <v>0</v>
          </cell>
          <cell r="I208">
            <v>0</v>
          </cell>
        </row>
      </sheetData>
      <sheetData sheetId="2">
        <row r="11">
          <cell r="H11">
            <v>625.85377401999995</v>
          </cell>
          <cell r="I11">
            <v>634.23644413</v>
          </cell>
        </row>
        <row r="171">
          <cell r="H171">
            <v>124.05153402000001</v>
          </cell>
          <cell r="I171">
            <v>48.467233780000001</v>
          </cell>
        </row>
      </sheetData>
      <sheetData sheetId="3">
        <row r="11">
          <cell r="H11">
            <v>6205.3748425200001</v>
          </cell>
          <cell r="I11">
            <v>6489.6159428500005</v>
          </cell>
        </row>
        <row r="54">
          <cell r="H54">
            <v>242.91464711</v>
          </cell>
          <cell r="I54">
            <v>47.514658859999997</v>
          </cell>
        </row>
        <row r="201">
          <cell r="F201">
            <v>2581</v>
          </cell>
          <cell r="G201">
            <v>2534</v>
          </cell>
          <cell r="H201">
            <v>2556.185583</v>
          </cell>
          <cell r="I201">
            <v>2497</v>
          </cell>
        </row>
        <row r="204">
          <cell r="H204">
            <v>409.50440794000002</v>
          </cell>
          <cell r="I204">
            <v>405.46763747999995</v>
          </cell>
        </row>
        <row r="209">
          <cell r="H209">
            <v>107.28815077</v>
          </cell>
          <cell r="I209">
            <v>122.75254905000001</v>
          </cell>
        </row>
      </sheetData>
      <sheetData sheetId="4">
        <row r="10">
          <cell r="H10">
            <v>646.33154295999998</v>
          </cell>
          <cell r="I10">
            <v>655.85460454999998</v>
          </cell>
        </row>
        <row r="204">
          <cell r="H204">
            <v>0</v>
          </cell>
          <cell r="I204">
            <v>0</v>
          </cell>
        </row>
        <row r="208">
          <cell r="H208">
            <v>0</v>
          </cell>
          <cell r="I208">
            <v>0</v>
          </cell>
        </row>
        <row r="209">
          <cell r="H209">
            <v>644.37843103</v>
          </cell>
          <cell r="I209">
            <v>655.69202502000007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s"/>
    </sheetNames>
    <sheetDataSet>
      <sheetData sheetId="0">
        <row r="10">
          <cell r="L10">
            <v>1900888</v>
          </cell>
          <cell r="N10">
            <v>1914251</v>
          </cell>
          <cell r="P10">
            <v>1934245</v>
          </cell>
          <cell r="R10">
            <v>1942318</v>
          </cell>
        </row>
        <row r="16">
          <cell r="L16">
            <v>2442126</v>
          </cell>
          <cell r="N16">
            <v>2396398</v>
          </cell>
          <cell r="P16">
            <v>2335989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s"/>
    </sheetNames>
    <sheetDataSet>
      <sheetData sheetId="0">
        <row r="20">
          <cell r="L20">
            <v>29804</v>
          </cell>
          <cell r="N20">
            <v>29784</v>
          </cell>
          <cell r="P20">
            <v>29893</v>
          </cell>
          <cell r="R20">
            <v>29805</v>
          </cell>
        </row>
        <row r="22">
          <cell r="L22">
            <v>702791.35812315706</v>
          </cell>
          <cell r="N22">
            <v>685222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umanoir.newten@ccmsa.msa.fr" TargetMode="External"/><Relationship Id="rId2" Type="http://schemas.openxmlformats.org/officeDocument/2006/relationships/hyperlink" Target="mailto:foucaud.david@ccmsa.msa.fr" TargetMode="External"/><Relationship Id="rId1" Type="http://schemas.openxmlformats.org/officeDocument/2006/relationships/hyperlink" Target="mailto:joubert.nadia@ccmsa.msa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vestre.yannick@ccmsa.msa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EE08-040A-4D55-9D3B-01D069A12162}">
  <dimension ref="A1:AG166"/>
  <sheetViews>
    <sheetView showGridLines="0" tabSelected="1" workbookViewId="0">
      <selection activeCell="A5" sqref="A5:G5"/>
    </sheetView>
  </sheetViews>
  <sheetFormatPr baseColWidth="10" defaultRowHeight="12.5" x14ac:dyDescent="0.25"/>
  <cols>
    <col min="8" max="33" width="10.90625" style="482"/>
  </cols>
  <sheetData>
    <row r="1" spans="1:7" ht="13" thickTop="1" x14ac:dyDescent="0.25">
      <c r="A1" s="480"/>
      <c r="B1" s="481"/>
      <c r="C1" s="481"/>
      <c r="D1" s="481"/>
      <c r="E1" s="481"/>
      <c r="F1" s="481"/>
      <c r="G1" s="531" t="s">
        <v>198</v>
      </c>
    </row>
    <row r="2" spans="1:7" x14ac:dyDescent="0.25">
      <c r="A2" s="483"/>
      <c r="G2" s="484"/>
    </row>
    <row r="3" spans="1:7" x14ac:dyDescent="0.25">
      <c r="A3" s="483"/>
      <c r="G3" s="484"/>
    </row>
    <row r="4" spans="1:7" x14ac:dyDescent="0.25">
      <c r="A4" s="483"/>
      <c r="G4" s="484"/>
    </row>
    <row r="5" spans="1:7" ht="20" x14ac:dyDescent="0.4">
      <c r="A5" s="495" t="s">
        <v>184</v>
      </c>
      <c r="B5" s="496"/>
      <c r="C5" s="496"/>
      <c r="D5" s="496"/>
      <c r="E5" s="496"/>
      <c r="F5" s="496"/>
      <c r="G5" s="497"/>
    </row>
    <row r="6" spans="1:7" ht="20" x14ac:dyDescent="0.4">
      <c r="A6" s="495" t="s">
        <v>197</v>
      </c>
      <c r="B6" s="496"/>
      <c r="C6" s="496"/>
      <c r="D6" s="496"/>
      <c r="E6" s="496"/>
      <c r="F6" s="496"/>
      <c r="G6" s="497"/>
    </row>
    <row r="7" spans="1:7" ht="20" x14ac:dyDescent="0.4">
      <c r="A7" s="498"/>
      <c r="B7" s="499"/>
      <c r="C7" s="499"/>
      <c r="D7" s="499"/>
      <c r="E7" s="499"/>
      <c r="F7" s="499"/>
      <c r="G7" s="500"/>
    </row>
    <row r="8" spans="1:7" x14ac:dyDescent="0.25">
      <c r="A8" s="483"/>
      <c r="G8" s="484"/>
    </row>
    <row r="9" spans="1:7" x14ac:dyDescent="0.25">
      <c r="A9" s="483"/>
      <c r="G9" s="484"/>
    </row>
    <row r="10" spans="1:7" x14ac:dyDescent="0.25">
      <c r="A10" s="483"/>
      <c r="G10" s="485" t="s">
        <v>185</v>
      </c>
    </row>
    <row r="11" spans="1:7" x14ac:dyDescent="0.25">
      <c r="A11" s="483" t="s">
        <v>186</v>
      </c>
      <c r="G11" s="484"/>
    </row>
    <row r="12" spans="1:7" ht="13" x14ac:dyDescent="0.25">
      <c r="A12" s="486" t="s">
        <v>187</v>
      </c>
      <c r="G12" s="484"/>
    </row>
    <row r="13" spans="1:7" x14ac:dyDescent="0.25">
      <c r="A13" s="487" t="s">
        <v>188</v>
      </c>
      <c r="G13" s="484"/>
    </row>
    <row r="14" spans="1:7" x14ac:dyDescent="0.25">
      <c r="A14" s="488"/>
      <c r="G14" s="484"/>
    </row>
    <row r="15" spans="1:7" x14ac:dyDescent="0.25">
      <c r="A15" s="486" t="s">
        <v>189</v>
      </c>
      <c r="G15" s="484"/>
    </row>
    <row r="16" spans="1:7" x14ac:dyDescent="0.25">
      <c r="A16" s="486" t="s">
        <v>190</v>
      </c>
      <c r="G16" s="484"/>
    </row>
    <row r="17" spans="1:7" x14ac:dyDescent="0.25">
      <c r="A17" s="489" t="s">
        <v>191</v>
      </c>
      <c r="G17" s="484"/>
    </row>
    <row r="18" spans="1:7" x14ac:dyDescent="0.25">
      <c r="A18" s="489"/>
      <c r="G18" s="484"/>
    </row>
    <row r="19" spans="1:7" x14ac:dyDescent="0.25">
      <c r="A19" s="490" t="s">
        <v>192</v>
      </c>
      <c r="B19" s="169"/>
      <c r="C19" s="169"/>
      <c r="G19" s="484"/>
    </row>
    <row r="20" spans="1:7" x14ac:dyDescent="0.25">
      <c r="A20" s="490" t="s">
        <v>193</v>
      </c>
      <c r="B20" s="169"/>
      <c r="C20" s="169"/>
      <c r="G20" s="484"/>
    </row>
    <row r="21" spans="1:7" x14ac:dyDescent="0.25">
      <c r="A21" s="489" t="s">
        <v>194</v>
      </c>
      <c r="G21" s="484"/>
    </row>
    <row r="22" spans="1:7" x14ac:dyDescent="0.25">
      <c r="A22" s="483"/>
      <c r="G22" s="484"/>
    </row>
    <row r="23" spans="1:7" x14ac:dyDescent="0.25">
      <c r="A23" s="491" t="s">
        <v>195</v>
      </c>
      <c r="G23" s="484"/>
    </row>
    <row r="24" spans="1:7" x14ac:dyDescent="0.25">
      <c r="A24" s="489" t="s">
        <v>196</v>
      </c>
      <c r="G24" s="484"/>
    </row>
    <row r="25" spans="1:7" ht="13" thickBot="1" x14ac:dyDescent="0.3">
      <c r="A25" s="492"/>
      <c r="B25" s="493"/>
      <c r="C25" s="493"/>
      <c r="D25" s="493"/>
      <c r="E25" s="493"/>
      <c r="F25" s="493"/>
      <c r="G25" s="494"/>
    </row>
    <row r="26" spans="1:7" s="482" customFormat="1" ht="13" thickTop="1" x14ac:dyDescent="0.25"/>
    <row r="27" spans="1:7" s="482" customFormat="1" x14ac:dyDescent="0.25"/>
    <row r="28" spans="1:7" s="482" customFormat="1" x14ac:dyDescent="0.25"/>
    <row r="29" spans="1:7" s="482" customFormat="1" x14ac:dyDescent="0.25"/>
    <row r="30" spans="1:7" s="482" customFormat="1" x14ac:dyDescent="0.25"/>
    <row r="31" spans="1:7" s="482" customFormat="1" x14ac:dyDescent="0.25"/>
    <row r="32" spans="1:7" s="482" customFormat="1" x14ac:dyDescent="0.25"/>
    <row r="33" s="482" customFormat="1" x14ac:dyDescent="0.25"/>
    <row r="34" s="482" customFormat="1" x14ac:dyDescent="0.25"/>
    <row r="35" s="482" customFormat="1" x14ac:dyDescent="0.25"/>
    <row r="36" s="482" customFormat="1" x14ac:dyDescent="0.25"/>
    <row r="37" s="482" customFormat="1" x14ac:dyDescent="0.25"/>
    <row r="38" s="482" customFormat="1" x14ac:dyDescent="0.25"/>
    <row r="39" s="482" customFormat="1" x14ac:dyDescent="0.25"/>
    <row r="40" s="482" customFormat="1" x14ac:dyDescent="0.25"/>
    <row r="41" s="482" customFormat="1" x14ac:dyDescent="0.25"/>
    <row r="42" s="482" customFormat="1" x14ac:dyDescent="0.25"/>
    <row r="43" s="482" customFormat="1" x14ac:dyDescent="0.25"/>
    <row r="44" s="482" customFormat="1" x14ac:dyDescent="0.25"/>
    <row r="45" s="482" customFormat="1" x14ac:dyDescent="0.25"/>
    <row r="46" s="482" customFormat="1" x14ac:dyDescent="0.25"/>
    <row r="47" s="482" customFormat="1" x14ac:dyDescent="0.25"/>
    <row r="48" s="482" customFormat="1" x14ac:dyDescent="0.25"/>
    <row r="49" s="482" customFormat="1" x14ac:dyDescent="0.25"/>
    <row r="50" s="482" customFormat="1" x14ac:dyDescent="0.25"/>
    <row r="51" s="482" customFormat="1" x14ac:dyDescent="0.25"/>
    <row r="52" s="482" customFormat="1" x14ac:dyDescent="0.25"/>
    <row r="53" s="482" customFormat="1" x14ac:dyDescent="0.25"/>
    <row r="54" s="482" customFormat="1" x14ac:dyDescent="0.25"/>
    <row r="55" s="482" customFormat="1" x14ac:dyDescent="0.25"/>
    <row r="56" s="482" customFormat="1" x14ac:dyDescent="0.25"/>
    <row r="57" s="482" customFormat="1" x14ac:dyDescent="0.25"/>
    <row r="58" s="482" customFormat="1" x14ac:dyDescent="0.25"/>
    <row r="59" s="482" customFormat="1" x14ac:dyDescent="0.25"/>
    <row r="60" s="482" customFormat="1" x14ac:dyDescent="0.25"/>
    <row r="61" s="482" customFormat="1" x14ac:dyDescent="0.25"/>
    <row r="62" s="482" customFormat="1" x14ac:dyDescent="0.25"/>
    <row r="63" s="482" customFormat="1" x14ac:dyDescent="0.25"/>
    <row r="64" s="482" customFormat="1" x14ac:dyDescent="0.25"/>
    <row r="65" s="482" customFormat="1" x14ac:dyDescent="0.25"/>
    <row r="66" s="482" customFormat="1" x14ac:dyDescent="0.25"/>
    <row r="67" s="482" customFormat="1" x14ac:dyDescent="0.25"/>
    <row r="68" s="482" customFormat="1" x14ac:dyDescent="0.25"/>
    <row r="69" s="482" customFormat="1" x14ac:dyDescent="0.25"/>
    <row r="70" s="482" customFormat="1" x14ac:dyDescent="0.25"/>
    <row r="71" s="482" customFormat="1" x14ac:dyDescent="0.25"/>
    <row r="72" s="482" customFormat="1" x14ac:dyDescent="0.25"/>
    <row r="73" s="482" customFormat="1" x14ac:dyDescent="0.25"/>
    <row r="74" s="482" customFormat="1" x14ac:dyDescent="0.25"/>
    <row r="75" s="482" customFormat="1" x14ac:dyDescent="0.25"/>
    <row r="76" s="482" customFormat="1" x14ac:dyDescent="0.25"/>
    <row r="77" s="482" customFormat="1" x14ac:dyDescent="0.25"/>
    <row r="78" s="482" customFormat="1" x14ac:dyDescent="0.25"/>
    <row r="79" s="482" customFormat="1" x14ac:dyDescent="0.25"/>
    <row r="80" s="482" customFormat="1" x14ac:dyDescent="0.25"/>
    <row r="81" s="482" customFormat="1" x14ac:dyDescent="0.25"/>
    <row r="82" s="482" customFormat="1" x14ac:dyDescent="0.25"/>
    <row r="83" s="482" customFormat="1" x14ac:dyDescent="0.25"/>
    <row r="84" s="482" customFormat="1" x14ac:dyDescent="0.25"/>
    <row r="85" s="482" customFormat="1" x14ac:dyDescent="0.25"/>
    <row r="86" s="482" customFormat="1" x14ac:dyDescent="0.25"/>
    <row r="87" s="482" customFormat="1" x14ac:dyDescent="0.25"/>
    <row r="88" s="482" customFormat="1" x14ac:dyDescent="0.25"/>
    <row r="89" s="482" customFormat="1" x14ac:dyDescent="0.25"/>
    <row r="90" s="482" customFormat="1" x14ac:dyDescent="0.25"/>
    <row r="91" s="482" customFormat="1" x14ac:dyDescent="0.25"/>
    <row r="92" s="482" customFormat="1" x14ac:dyDescent="0.25"/>
    <row r="93" s="482" customFormat="1" x14ac:dyDescent="0.25"/>
    <row r="94" s="482" customFormat="1" x14ac:dyDescent="0.25"/>
    <row r="95" s="482" customFormat="1" x14ac:dyDescent="0.25"/>
    <row r="96" s="482" customFormat="1" x14ac:dyDescent="0.25"/>
    <row r="97" s="482" customFormat="1" x14ac:dyDescent="0.25"/>
    <row r="98" s="482" customFormat="1" x14ac:dyDescent="0.25"/>
    <row r="99" s="482" customFormat="1" x14ac:dyDescent="0.25"/>
    <row r="100" s="482" customFormat="1" x14ac:dyDescent="0.25"/>
    <row r="101" s="482" customFormat="1" x14ac:dyDescent="0.25"/>
    <row r="102" s="482" customFormat="1" x14ac:dyDescent="0.25"/>
    <row r="103" s="482" customFormat="1" x14ac:dyDescent="0.25"/>
    <row r="104" s="482" customFormat="1" x14ac:dyDescent="0.25"/>
    <row r="105" s="482" customFormat="1" x14ac:dyDescent="0.25"/>
    <row r="106" s="482" customFormat="1" x14ac:dyDescent="0.25"/>
    <row r="107" s="482" customFormat="1" x14ac:dyDescent="0.25"/>
    <row r="108" s="482" customFormat="1" x14ac:dyDescent="0.25"/>
    <row r="109" s="482" customFormat="1" x14ac:dyDescent="0.25"/>
    <row r="110" s="482" customFormat="1" x14ac:dyDescent="0.25"/>
    <row r="111" s="482" customFormat="1" x14ac:dyDescent="0.25"/>
    <row r="112" s="482" customFormat="1" x14ac:dyDescent="0.25"/>
    <row r="113" s="482" customFormat="1" x14ac:dyDescent="0.25"/>
    <row r="114" s="482" customFormat="1" x14ac:dyDescent="0.25"/>
    <row r="115" s="482" customFormat="1" x14ac:dyDescent="0.25"/>
    <row r="116" s="482" customFormat="1" x14ac:dyDescent="0.25"/>
    <row r="117" s="482" customFormat="1" x14ac:dyDescent="0.25"/>
    <row r="118" s="482" customFormat="1" x14ac:dyDescent="0.25"/>
    <row r="119" s="482" customFormat="1" x14ac:dyDescent="0.25"/>
    <row r="120" s="482" customFormat="1" x14ac:dyDescent="0.25"/>
    <row r="121" s="482" customFormat="1" x14ac:dyDescent="0.25"/>
    <row r="122" s="482" customFormat="1" x14ac:dyDescent="0.25"/>
    <row r="123" s="482" customFormat="1" x14ac:dyDescent="0.25"/>
    <row r="124" s="482" customFormat="1" x14ac:dyDescent="0.25"/>
    <row r="125" s="482" customFormat="1" x14ac:dyDescent="0.25"/>
    <row r="126" s="482" customFormat="1" x14ac:dyDescent="0.25"/>
    <row r="127" s="482" customFormat="1" x14ac:dyDescent="0.25"/>
    <row r="128" s="482" customFormat="1" x14ac:dyDescent="0.25"/>
    <row r="129" s="482" customFormat="1" x14ac:dyDescent="0.25"/>
    <row r="130" s="482" customFormat="1" x14ac:dyDescent="0.25"/>
    <row r="131" s="482" customFormat="1" x14ac:dyDescent="0.25"/>
    <row r="132" s="482" customFormat="1" x14ac:dyDescent="0.25"/>
    <row r="133" s="482" customFormat="1" x14ac:dyDescent="0.25"/>
    <row r="134" s="482" customFormat="1" x14ac:dyDescent="0.25"/>
    <row r="135" s="482" customFormat="1" x14ac:dyDescent="0.25"/>
    <row r="136" s="482" customFormat="1" x14ac:dyDescent="0.25"/>
    <row r="137" s="482" customFormat="1" x14ac:dyDescent="0.25"/>
    <row r="138" s="482" customFormat="1" x14ac:dyDescent="0.25"/>
    <row r="139" s="482" customFormat="1" x14ac:dyDescent="0.25"/>
    <row r="140" s="482" customFormat="1" x14ac:dyDescent="0.25"/>
    <row r="141" s="482" customFormat="1" x14ac:dyDescent="0.25"/>
    <row r="142" s="482" customFormat="1" x14ac:dyDescent="0.25"/>
    <row r="143" s="482" customFormat="1" x14ac:dyDescent="0.25"/>
    <row r="144" s="482" customFormat="1" x14ac:dyDescent="0.25"/>
    <row r="145" s="482" customFormat="1" x14ac:dyDescent="0.25"/>
    <row r="146" s="482" customFormat="1" x14ac:dyDescent="0.25"/>
    <row r="147" s="482" customFormat="1" x14ac:dyDescent="0.25"/>
    <row r="148" s="482" customFormat="1" x14ac:dyDescent="0.25"/>
    <row r="149" s="482" customFormat="1" x14ac:dyDescent="0.25"/>
    <row r="150" s="482" customFormat="1" x14ac:dyDescent="0.25"/>
    <row r="151" s="482" customFormat="1" x14ac:dyDescent="0.25"/>
    <row r="152" s="482" customFormat="1" x14ac:dyDescent="0.25"/>
    <row r="153" s="482" customFormat="1" x14ac:dyDescent="0.25"/>
    <row r="154" s="482" customFormat="1" x14ac:dyDescent="0.25"/>
    <row r="155" s="482" customFormat="1" x14ac:dyDescent="0.25"/>
    <row r="156" s="482" customFormat="1" x14ac:dyDescent="0.25"/>
    <row r="157" s="482" customFormat="1" x14ac:dyDescent="0.25"/>
    <row r="158" s="482" customFormat="1" x14ac:dyDescent="0.25"/>
    <row r="159" s="482" customFormat="1" x14ac:dyDescent="0.25"/>
    <row r="160" s="482" customFormat="1" x14ac:dyDescent="0.25"/>
    <row r="161" s="482" customFormat="1" x14ac:dyDescent="0.25"/>
    <row r="162" s="482" customFormat="1" x14ac:dyDescent="0.25"/>
    <row r="163" s="482" customFormat="1" x14ac:dyDescent="0.25"/>
    <row r="164" s="482" customFormat="1" x14ac:dyDescent="0.25"/>
    <row r="165" s="482" customFormat="1" x14ac:dyDescent="0.25"/>
    <row r="166" s="482" customFormat="1" x14ac:dyDescent="0.25"/>
  </sheetData>
  <mergeCells count="3">
    <mergeCell ref="A5:G5"/>
    <mergeCell ref="A6:G6"/>
    <mergeCell ref="A7:G7"/>
  </mergeCells>
  <hyperlinks>
    <hyperlink ref="A13" r:id="rId1" display="mailto:joubert.nadia@ccmsa.msa.fr" xr:uid="{17175D4E-C63D-4518-95DF-7078057981B2}"/>
    <hyperlink ref="A17" r:id="rId2" xr:uid="{2BC67EF3-2C1E-4DDA-816A-6D05F8D0B7F4}"/>
    <hyperlink ref="A24" r:id="rId3" xr:uid="{F0BF4E33-6E28-496F-A134-62B3AF2F87BA}"/>
    <hyperlink ref="A21" r:id="rId4" xr:uid="{319F6F7B-43DC-497E-9C31-2A811682F48B}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29"/>
  </sheetPr>
  <dimension ref="A1:Y106"/>
  <sheetViews>
    <sheetView zoomScaleNormal="100" workbookViewId="0"/>
  </sheetViews>
  <sheetFormatPr baseColWidth="10" defaultRowHeight="12.5" x14ac:dyDescent="0.25"/>
  <cols>
    <col min="1" max="1" width="46.453125" style="142" customWidth="1"/>
    <col min="2" max="3" width="9.26953125" style="35" bestFit="1" customWidth="1"/>
    <col min="4" max="4" width="8.54296875" style="144" customWidth="1"/>
    <col min="5" max="5" width="8.54296875" style="145" customWidth="1"/>
    <col min="6" max="6" width="7.7265625" style="146" bestFit="1" customWidth="1"/>
    <col min="7" max="8" width="6.1796875" style="146" customWidth="1"/>
    <col min="9" max="9" width="6.1796875" style="147" customWidth="1"/>
    <col min="10" max="10" width="8" style="34" bestFit="1" customWidth="1"/>
    <col min="11" max="11" width="8" style="139" bestFit="1" customWidth="1"/>
    <col min="12" max="12" width="8.453125" style="140" bestFit="1" customWidth="1"/>
    <col min="13" max="13" width="5.26953125" style="126" customWidth="1"/>
    <col min="14" max="14" width="43.1796875" customWidth="1"/>
    <col min="15" max="15" width="9.81640625" style="172" bestFit="1" customWidth="1"/>
    <col min="16" max="16" width="7.81640625" style="172" bestFit="1" customWidth="1"/>
    <col min="17" max="17" width="7.81640625" style="173" bestFit="1" customWidth="1"/>
    <col min="18" max="18" width="7.81640625" style="174" customWidth="1"/>
    <col min="19" max="19" width="6.81640625" style="167" bestFit="1" customWidth="1"/>
    <col min="20" max="21" width="6.26953125" style="167" customWidth="1"/>
    <col min="22" max="22" width="6.26953125" style="168" customWidth="1"/>
    <col min="23" max="23" width="8.26953125" style="172" customWidth="1"/>
    <col min="24" max="24" width="8.26953125" style="169" bestFit="1" customWidth="1"/>
    <col min="25" max="25" width="8.26953125" style="10" customWidth="1"/>
  </cols>
  <sheetData>
    <row r="1" spans="1:25" s="54" customFormat="1" ht="13" x14ac:dyDescent="0.3">
      <c r="A1" s="36"/>
      <c r="B1" s="37"/>
      <c r="C1" s="37"/>
      <c r="D1" s="37"/>
      <c r="E1" s="38"/>
      <c r="F1" s="39"/>
      <c r="G1" s="40"/>
      <c r="H1" s="40"/>
      <c r="I1" s="41"/>
      <c r="J1" s="42"/>
      <c r="K1" s="43"/>
      <c r="L1" s="44"/>
      <c r="M1" s="45"/>
      <c r="N1" s="46"/>
      <c r="O1" s="47"/>
      <c r="P1" s="47"/>
      <c r="Q1" s="47"/>
      <c r="R1" s="48"/>
      <c r="S1" s="49"/>
      <c r="T1" s="49"/>
      <c r="U1" s="50"/>
      <c r="V1" s="51"/>
      <c r="W1" s="47"/>
      <c r="X1" s="52"/>
      <c r="Y1" s="53"/>
    </row>
    <row r="2" spans="1:25" ht="11.25" customHeight="1" x14ac:dyDescent="0.3">
      <c r="A2" s="501" t="s">
        <v>0</v>
      </c>
      <c r="B2" s="503" t="s">
        <v>35</v>
      </c>
      <c r="C2" s="504"/>
      <c r="D2" s="505"/>
      <c r="E2" s="506"/>
      <c r="F2" s="510" t="s">
        <v>36</v>
      </c>
      <c r="G2" s="510"/>
      <c r="H2" s="510"/>
      <c r="I2" s="510"/>
      <c r="J2" s="513" t="s">
        <v>37</v>
      </c>
      <c r="K2" s="513"/>
      <c r="L2" s="513"/>
      <c r="M2" s="55"/>
      <c r="N2" s="56"/>
      <c r="O2" s="514" t="s">
        <v>35</v>
      </c>
      <c r="P2" s="515"/>
      <c r="Q2" s="516"/>
      <c r="R2" s="517"/>
      <c r="S2" s="511" t="s">
        <v>36</v>
      </c>
      <c r="T2" s="512"/>
      <c r="U2" s="512"/>
      <c r="V2" s="512"/>
      <c r="W2" s="507" t="s">
        <v>37</v>
      </c>
      <c r="X2" s="508"/>
      <c r="Y2" s="509"/>
    </row>
    <row r="3" spans="1:25" s="68" customFormat="1" ht="13" x14ac:dyDescent="0.25">
      <c r="A3" s="502"/>
      <c r="B3" s="57">
        <v>2019</v>
      </c>
      <c r="C3" s="57">
        <f>B3+1</f>
        <v>2020</v>
      </c>
      <c r="D3" s="57">
        <f>C3+1</f>
        <v>2021</v>
      </c>
      <c r="E3" s="58">
        <f>D3+1</f>
        <v>2022</v>
      </c>
      <c r="F3" s="188">
        <f>B3</f>
        <v>2019</v>
      </c>
      <c r="G3" s="188">
        <f t="shared" ref="G3:H3" si="0">C3</f>
        <v>2020</v>
      </c>
      <c r="H3" s="188">
        <f t="shared" si="0"/>
        <v>2021</v>
      </c>
      <c r="I3" s="189">
        <f>E3</f>
        <v>2022</v>
      </c>
      <c r="J3" s="59">
        <f>G3</f>
        <v>2020</v>
      </c>
      <c r="K3" s="59">
        <f>H3</f>
        <v>2021</v>
      </c>
      <c r="L3" s="60">
        <f>I3</f>
        <v>2022</v>
      </c>
      <c r="M3" s="61"/>
      <c r="N3" s="62" t="s">
        <v>2</v>
      </c>
      <c r="O3" s="57">
        <f>B3</f>
        <v>2019</v>
      </c>
      <c r="P3" s="63">
        <f>C3</f>
        <v>2020</v>
      </c>
      <c r="Q3" s="63">
        <f>D3</f>
        <v>2021</v>
      </c>
      <c r="R3" s="64">
        <f>E3</f>
        <v>2022</v>
      </c>
      <c r="S3" s="65">
        <f>O3</f>
        <v>2019</v>
      </c>
      <c r="T3" s="65">
        <f>P3</f>
        <v>2020</v>
      </c>
      <c r="U3" s="66">
        <f>Q3</f>
        <v>2021</v>
      </c>
      <c r="V3" s="67">
        <f>R3</f>
        <v>2022</v>
      </c>
      <c r="W3" s="65">
        <f>T3</f>
        <v>2020</v>
      </c>
      <c r="X3" s="66">
        <f>U3</f>
        <v>2021</v>
      </c>
      <c r="Y3" s="67">
        <f>V3</f>
        <v>2022</v>
      </c>
    </row>
    <row r="4" spans="1:25" ht="10" customHeight="1" x14ac:dyDescent="0.25">
      <c r="A4" s="69"/>
      <c r="B4" s="70"/>
      <c r="C4" s="71"/>
      <c r="D4" s="71"/>
      <c r="E4" s="187"/>
      <c r="F4" s="73"/>
      <c r="G4" s="73"/>
      <c r="H4" s="73"/>
      <c r="I4" s="74"/>
      <c r="J4" s="75"/>
      <c r="K4" s="75"/>
      <c r="L4" s="76"/>
      <c r="M4" s="77"/>
      <c r="N4" s="78"/>
      <c r="O4" s="79"/>
      <c r="P4" s="80"/>
      <c r="Q4" s="71"/>
      <c r="R4" s="72"/>
      <c r="S4" s="81"/>
      <c r="T4" s="81"/>
      <c r="U4" s="81"/>
      <c r="V4" s="82"/>
      <c r="W4" s="83"/>
      <c r="X4" s="84"/>
      <c r="Y4" s="85"/>
    </row>
    <row r="5" spans="1:25" s="98" customFormat="1" ht="11.5" x14ac:dyDescent="0.25">
      <c r="A5" s="86" t="s">
        <v>38</v>
      </c>
      <c r="B5" s="351">
        <f t="shared" ref="B5" si="1">SUM(B7:B10)</f>
        <v>12083.723587700002</v>
      </c>
      <c r="C5" s="351">
        <f>SUM(C7:C11)</f>
        <v>13105.111095870001</v>
      </c>
      <c r="D5" s="351">
        <f>SUM(D7:D11)</f>
        <v>12937.286749850002</v>
      </c>
      <c r="E5" s="396">
        <f>SUM(E7:E11)</f>
        <v>13548.121648940003</v>
      </c>
      <c r="F5" s="88">
        <f>B5/$B$51</f>
        <v>0.81735000366061195</v>
      </c>
      <c r="G5" s="88">
        <f>C5/$C$51</f>
        <v>0.82285905385694325</v>
      </c>
      <c r="H5" s="88">
        <f>D5/$D$51</f>
        <v>0.85991586626037742</v>
      </c>
      <c r="I5" s="89">
        <f>E5/$E$51</f>
        <v>0.87618698063775502</v>
      </c>
      <c r="J5" s="90">
        <f>C5/B5-1</f>
        <v>8.4525891440422107E-2</v>
      </c>
      <c r="K5" s="90">
        <f>D5/C5-1</f>
        <v>-1.2806022382586879E-2</v>
      </c>
      <c r="L5" s="91">
        <f>E5/D5-1</f>
        <v>4.7215069967980972E-2</v>
      </c>
      <c r="M5" s="92"/>
      <c r="N5" s="93" t="s">
        <v>39</v>
      </c>
      <c r="O5" s="351">
        <f t="shared" ref="O5" si="2">SUM(O6:O9)</f>
        <v>5757.9611719300001</v>
      </c>
      <c r="P5" s="351">
        <f>SUM(P6:P9)</f>
        <v>5435.20399499</v>
      </c>
      <c r="Q5" s="351">
        <f>SUM(Q6:Q9)</f>
        <v>5760.6775169400007</v>
      </c>
      <c r="R5" s="351">
        <f>SUM(R6:R9)</f>
        <v>5944.3958786200001</v>
      </c>
      <c r="S5" s="88">
        <f>O5/$O$66</f>
        <v>0.38862574495980634</v>
      </c>
      <c r="T5" s="88">
        <f>P5/$P$66</f>
        <v>0.34017322271261274</v>
      </c>
      <c r="U5" s="94">
        <f>Q5/$Q$66</f>
        <v>0.38211326329643069</v>
      </c>
      <c r="V5" s="95">
        <f>R5/$R$66</f>
        <v>0.38296101441072272</v>
      </c>
      <c r="W5" s="90">
        <f t="shared" ref="W5:Y9" si="3">P5/O5-1</f>
        <v>-5.6054073187127074E-2</v>
      </c>
      <c r="X5" s="96">
        <f t="shared" si="3"/>
        <v>5.9882485045641642E-2</v>
      </c>
      <c r="Y5" s="97">
        <f t="shared" si="3"/>
        <v>3.189179764702188E-2</v>
      </c>
    </row>
    <row r="6" spans="1:25" x14ac:dyDescent="0.25">
      <c r="A6" s="99" t="s">
        <v>40</v>
      </c>
      <c r="B6" s="332"/>
      <c r="C6" s="332"/>
      <c r="D6" s="332"/>
      <c r="E6" s="333"/>
      <c r="F6" s="101"/>
      <c r="G6" s="101"/>
      <c r="H6" s="101"/>
      <c r="I6" s="102"/>
      <c r="J6" s="75"/>
      <c r="K6" s="75"/>
      <c r="L6" s="76"/>
      <c r="M6" s="103"/>
      <c r="N6" s="104" t="s">
        <v>41</v>
      </c>
      <c r="O6" s="334">
        <v>1676.6181447299998</v>
      </c>
      <c r="P6" s="334">
        <v>1381.3024069000001</v>
      </c>
      <c r="Q6" s="334">
        <v>1590.28099806</v>
      </c>
      <c r="R6" s="348">
        <v>1627.74614486</v>
      </c>
      <c r="S6" s="101">
        <f>O6/$O$5</f>
        <v>0.29118260694488451</v>
      </c>
      <c r="T6" s="101">
        <f>P6/$P$5</f>
        <v>0.25413993810963509</v>
      </c>
      <c r="U6" s="106">
        <f>Q6/$Q$5</f>
        <v>0.27605797987885583</v>
      </c>
      <c r="V6" s="107">
        <f>R6/$R$5</f>
        <v>0.27382869144271788</v>
      </c>
      <c r="W6" s="75">
        <f t="shared" si="3"/>
        <v>-0.17613774415972161</v>
      </c>
      <c r="X6" s="108">
        <f t="shared" si="3"/>
        <v>0.15129097735303443</v>
      </c>
      <c r="Y6" s="109">
        <f t="shared" si="3"/>
        <v>2.355882189732772E-2</v>
      </c>
    </row>
    <row r="7" spans="1:25" x14ac:dyDescent="0.25">
      <c r="A7" s="69" t="s">
        <v>42</v>
      </c>
      <c r="B7" s="334">
        <v>4809.1937053800002</v>
      </c>
      <c r="C7" s="334">
        <v>5090.9179437599996</v>
      </c>
      <c r="D7" s="334">
        <v>4816.3181431499997</v>
      </c>
      <c r="E7" s="348">
        <v>5028.3106068300012</v>
      </c>
      <c r="F7" s="101">
        <f>B7/$B$5</f>
        <v>0.39798938385807409</v>
      </c>
      <c r="G7" s="101">
        <f>C7/$C$5</f>
        <v>0.38846812564331273</v>
      </c>
      <c r="H7" s="101">
        <f>D7/$D$5</f>
        <v>0.37228193486596728</v>
      </c>
      <c r="I7" s="102">
        <f>E7/$E$5</f>
        <v>0.37114448313382342</v>
      </c>
      <c r="J7" s="75">
        <f>(C7-B7)/B7</f>
        <v>5.8580347484202419E-2</v>
      </c>
      <c r="K7" s="75">
        <f t="shared" ref="K7:L10" si="4">D7/C7-1</f>
        <v>-5.3939152750749009E-2</v>
      </c>
      <c r="L7" s="76">
        <f t="shared" si="4"/>
        <v>4.4015461059504046E-2</v>
      </c>
      <c r="M7" s="110"/>
      <c r="N7" s="104" t="s">
        <v>43</v>
      </c>
      <c r="O7" s="334">
        <v>629.38121721999994</v>
      </c>
      <c r="P7" s="334">
        <v>621.82517428000006</v>
      </c>
      <c r="Q7" s="334">
        <v>647.90029649999997</v>
      </c>
      <c r="R7" s="348">
        <v>667.18409943999995</v>
      </c>
      <c r="S7" s="101">
        <f>O7/$O$5</f>
        <v>0.10930626282931999</v>
      </c>
      <c r="T7" s="101">
        <f>P7/$P$5</f>
        <v>0.11440696151481691</v>
      </c>
      <c r="U7" s="106">
        <f>Q7/$Q$5</f>
        <v>0.11246946120395859</v>
      </c>
      <c r="V7" s="107">
        <f>R7/$R$5</f>
        <v>0.11223749445080493</v>
      </c>
      <c r="W7" s="75">
        <f t="shared" si="3"/>
        <v>-1.2005510703632427E-2</v>
      </c>
      <c r="X7" s="108">
        <f t="shared" si="3"/>
        <v>4.1933204538062929E-2</v>
      </c>
      <c r="Y7" s="109">
        <f t="shared" si="3"/>
        <v>2.9763534673733494E-2</v>
      </c>
    </row>
    <row r="8" spans="1:25" x14ac:dyDescent="0.25">
      <c r="A8" s="69" t="s">
        <v>44</v>
      </c>
      <c r="B8" s="334">
        <v>559.01302891000012</v>
      </c>
      <c r="C8" s="334">
        <v>551.07181614000001</v>
      </c>
      <c r="D8" s="334">
        <v>572.89877344000001</v>
      </c>
      <c r="E8" s="348">
        <v>593.00804479999999</v>
      </c>
      <c r="F8" s="101">
        <f>B8/$B$5</f>
        <v>4.6261653111547368E-2</v>
      </c>
      <c r="G8" s="101">
        <f>C8/$C$5</f>
        <v>4.2050144566394942E-2</v>
      </c>
      <c r="H8" s="101">
        <f>D8/$D$5</f>
        <v>4.4282760714617564E-2</v>
      </c>
      <c r="I8" s="102">
        <f>E8/$E$5</f>
        <v>4.3770498978830515E-2</v>
      </c>
      <c r="J8" s="75">
        <f>(C8-B8)/B8</f>
        <v>-1.4205774032645354E-2</v>
      </c>
      <c r="K8" s="75">
        <f t="shared" si="4"/>
        <v>3.9608190186330994E-2</v>
      </c>
      <c r="L8" s="76">
        <f t="shared" si="4"/>
        <v>3.510091536634441E-2</v>
      </c>
      <c r="M8" s="110"/>
      <c r="N8" s="104" t="s">
        <v>45</v>
      </c>
      <c r="O8" s="334">
        <v>493.31447027000013</v>
      </c>
      <c r="P8" s="334">
        <v>482.45909730999983</v>
      </c>
      <c r="Q8" s="334">
        <v>500.05769889999999</v>
      </c>
      <c r="R8" s="348">
        <v>517.04956264000009</v>
      </c>
      <c r="S8" s="101">
        <f>O8/$O$5</f>
        <v>8.5675199178991163E-2</v>
      </c>
      <c r="T8" s="101">
        <f>P8/$P$5</f>
        <v>8.8765591457968362E-2</v>
      </c>
      <c r="U8" s="106">
        <f>Q8/$Q$5</f>
        <v>8.680536229107029E-2</v>
      </c>
      <c r="V8" s="107">
        <f>R8/$R$5</f>
        <v>8.698101088786063E-2</v>
      </c>
      <c r="W8" s="75">
        <f t="shared" si="3"/>
        <v>-2.2004975759293943E-2</v>
      </c>
      <c r="X8" s="108">
        <f t="shared" si="3"/>
        <v>3.6476877911771011E-2</v>
      </c>
      <c r="Y8" s="109">
        <f t="shared" si="3"/>
        <v>3.3979806285110437E-2</v>
      </c>
    </row>
    <row r="9" spans="1:25" x14ac:dyDescent="0.25">
      <c r="A9" s="69" t="s">
        <v>46</v>
      </c>
      <c r="B9" s="334">
        <v>730.21497841000007</v>
      </c>
      <c r="C9" s="334">
        <v>713.82187131000001</v>
      </c>
      <c r="D9" s="334">
        <v>688.32126192999999</v>
      </c>
      <c r="E9" s="348">
        <v>771.56760064000002</v>
      </c>
      <c r="F9" s="101">
        <f>B9/$B$5</f>
        <v>6.0429632729540786E-2</v>
      </c>
      <c r="G9" s="101">
        <f>C9/$C$5</f>
        <v>5.4468967572122051E-2</v>
      </c>
      <c r="H9" s="101">
        <f>D9/$D$5</f>
        <v>5.3204452775848114E-2</v>
      </c>
      <c r="I9" s="102">
        <f>E9/$E$5</f>
        <v>5.6950152990423365E-2</v>
      </c>
      <c r="J9" s="75">
        <f>(C9-B9)/B9</f>
        <v>-2.2449699861943517E-2</v>
      </c>
      <c r="K9" s="75">
        <f t="shared" si="4"/>
        <v>-3.5724051622572861E-2</v>
      </c>
      <c r="L9" s="76">
        <f t="shared" si="4"/>
        <v>0.12094111182412659</v>
      </c>
      <c r="M9" s="110"/>
      <c r="N9" s="104" t="s">
        <v>47</v>
      </c>
      <c r="O9" s="334">
        <v>2958.6473397100003</v>
      </c>
      <c r="P9" s="334">
        <v>2949.6173165</v>
      </c>
      <c r="Q9" s="334">
        <v>3022.4385234800002</v>
      </c>
      <c r="R9" s="348">
        <v>3132.4160716800002</v>
      </c>
      <c r="S9" s="101">
        <f>O9/$O$5</f>
        <v>0.51383593104680436</v>
      </c>
      <c r="T9" s="101">
        <f>P9/$P$5</f>
        <v>0.54268750891757966</v>
      </c>
      <c r="U9" s="106">
        <f>Q9/$Q$5</f>
        <v>0.52466719662611516</v>
      </c>
      <c r="V9" s="107">
        <f>R9/$R$5</f>
        <v>0.52695280321861659</v>
      </c>
      <c r="W9" s="75">
        <f t="shared" si="3"/>
        <v>-3.0520782550871317E-3</v>
      </c>
      <c r="X9" s="108">
        <f t="shared" si="3"/>
        <v>2.4688357561722496E-2</v>
      </c>
      <c r="Y9" s="109">
        <f t="shared" si="3"/>
        <v>3.6387025689896602E-2</v>
      </c>
    </row>
    <row r="10" spans="1:25" ht="12.75" customHeight="1" x14ac:dyDescent="0.25">
      <c r="A10" s="69" t="s">
        <v>48</v>
      </c>
      <c r="B10" s="334">
        <v>5985.301875000001</v>
      </c>
      <c r="C10" s="334">
        <v>6105.1522090100025</v>
      </c>
      <c r="D10" s="334">
        <v>6213.4170283700005</v>
      </c>
      <c r="E10" s="348">
        <v>6499.3807921200005</v>
      </c>
      <c r="F10" s="101">
        <f>B10/$B$5</f>
        <v>0.49531933030083769</v>
      </c>
      <c r="G10" s="101">
        <f>C10/$C$5</f>
        <v>0.46586039327312573</v>
      </c>
      <c r="H10" s="101">
        <f>D10/$D$5</f>
        <v>0.48027203450847533</v>
      </c>
      <c r="I10" s="102">
        <f>E10/$E$5</f>
        <v>0.47972560038450113</v>
      </c>
      <c r="J10" s="75">
        <f>(C10-B10)/B10</f>
        <v>2.0024108476567264E-2</v>
      </c>
      <c r="K10" s="75">
        <f t="shared" si="4"/>
        <v>1.7733353019474318E-2</v>
      </c>
      <c r="L10" s="76">
        <f t="shared" si="4"/>
        <v>4.6023590955557969E-2</v>
      </c>
      <c r="M10" s="110"/>
      <c r="N10" s="111"/>
      <c r="O10" s="335"/>
      <c r="P10" s="335"/>
      <c r="Q10" s="335"/>
      <c r="R10" s="112"/>
      <c r="S10" s="101"/>
      <c r="T10" s="101"/>
      <c r="U10" s="106"/>
      <c r="V10" s="107"/>
      <c r="W10" s="75"/>
      <c r="X10" s="108"/>
      <c r="Y10" s="109"/>
    </row>
    <row r="11" spans="1:25" ht="12.75" customHeight="1" x14ac:dyDescent="0.25">
      <c r="A11" s="374" t="s">
        <v>140</v>
      </c>
      <c r="B11" s="334"/>
      <c r="C11" s="334">
        <v>644.14725565000003</v>
      </c>
      <c r="D11" s="334">
        <v>646.33154295999998</v>
      </c>
      <c r="E11" s="348">
        <v>655.85460454999998</v>
      </c>
      <c r="F11" s="101"/>
      <c r="G11" s="101"/>
      <c r="H11" s="101"/>
      <c r="I11" s="102"/>
      <c r="J11" s="75"/>
      <c r="K11" s="75"/>
      <c r="L11" s="76"/>
      <c r="M11" s="110"/>
      <c r="N11" s="111"/>
      <c r="O11" s="335"/>
      <c r="P11" s="335"/>
      <c r="Q11" s="335"/>
      <c r="R11" s="112"/>
      <c r="S11" s="101"/>
      <c r="T11" s="101"/>
      <c r="U11" s="106"/>
      <c r="V11" s="107"/>
      <c r="W11" s="75"/>
      <c r="X11" s="108"/>
      <c r="Y11" s="109"/>
    </row>
    <row r="12" spans="1:25" s="98" customFormat="1" ht="11.5" x14ac:dyDescent="0.25">
      <c r="A12" s="69"/>
      <c r="B12" s="335"/>
      <c r="C12" s="335"/>
      <c r="D12" s="335"/>
      <c r="E12" s="105"/>
      <c r="F12" s="101"/>
      <c r="G12" s="101"/>
      <c r="H12" s="101"/>
      <c r="I12" s="102"/>
      <c r="J12" s="75"/>
      <c r="K12" s="75"/>
      <c r="L12" s="76"/>
      <c r="M12" s="103"/>
      <c r="N12" s="93" t="s">
        <v>49</v>
      </c>
      <c r="O12" s="351">
        <f t="shared" ref="O12" si="5">SUM(O13:O16)</f>
        <v>452.35740418</v>
      </c>
      <c r="P12" s="351">
        <f>SUM(P13:P16)</f>
        <v>565.95504797000012</v>
      </c>
      <c r="Q12" s="351">
        <f>SUM(Q13:Q16)</f>
        <v>484.50779326000003</v>
      </c>
      <c r="R12" s="351">
        <f>SUM(R13:R16)</f>
        <v>525.67262819000007</v>
      </c>
      <c r="S12" s="88">
        <f>O12/$O$66</f>
        <v>3.0531246727495978E-2</v>
      </c>
      <c r="T12" s="88">
        <f>P12/$P$66</f>
        <v>3.5421440070306044E-2</v>
      </c>
      <c r="U12" s="94">
        <f>Q12/$Q$66</f>
        <v>3.2138034706978937E-2</v>
      </c>
      <c r="V12" s="95">
        <f>R12/$R$66</f>
        <v>3.3865867457388787E-2</v>
      </c>
      <c r="W12" s="90">
        <f t="shared" ref="W12:Y16" si="6">P12/O12-1</f>
        <v>0.25112365297948758</v>
      </c>
      <c r="X12" s="96">
        <f t="shared" si="6"/>
        <v>-0.1439111728080521</v>
      </c>
      <c r="Y12" s="97">
        <f t="shared" si="6"/>
        <v>8.4962172957060877E-2</v>
      </c>
    </row>
    <row r="13" spans="1:25" ht="12.75" customHeight="1" x14ac:dyDescent="0.25">
      <c r="A13" s="86" t="s">
        <v>50</v>
      </c>
      <c r="B13" s="351">
        <f t="shared" ref="B13" si="7">SUM(B14:B17)</f>
        <v>1241.4969233499999</v>
      </c>
      <c r="C13" s="351">
        <f>SUM(C14:C17)</f>
        <v>1308.8877756700003</v>
      </c>
      <c r="D13" s="351">
        <f>SUM(D14:D17)</f>
        <v>592.9086423</v>
      </c>
      <c r="E13" s="351">
        <f>SUM(E14:E17)</f>
        <v>431.83460754999999</v>
      </c>
      <c r="F13" s="88">
        <f>B13/$B$51</f>
        <v>8.3975564939077235E-2</v>
      </c>
      <c r="G13" s="88">
        <f>C13/$C$51</f>
        <v>8.2183977595745458E-2</v>
      </c>
      <c r="H13" s="88">
        <f>D13/$D$51</f>
        <v>3.9409464953119332E-2</v>
      </c>
      <c r="I13" s="89">
        <f>E13/$E$51</f>
        <v>2.7927698815261793E-2</v>
      </c>
      <c r="J13" s="90">
        <f t="shared" ref="J13:L17" si="8">C13/B13-1</f>
        <v>5.428193260290648E-2</v>
      </c>
      <c r="K13" s="90">
        <f t="shared" si="8"/>
        <v>-0.54701338547034806</v>
      </c>
      <c r="L13" s="91">
        <f t="shared" si="8"/>
        <v>-0.27166754413490191</v>
      </c>
      <c r="M13" s="92"/>
      <c r="N13" s="104" t="s">
        <v>41</v>
      </c>
      <c r="O13" s="334">
        <v>144.41515444999999</v>
      </c>
      <c r="P13" s="334">
        <v>242.56274143000002</v>
      </c>
      <c r="Q13" s="334">
        <v>140.74787162000001</v>
      </c>
      <c r="R13" s="348">
        <v>158.14943690000001</v>
      </c>
      <c r="S13" s="101">
        <f>O13/$O$12</f>
        <v>0.3192501175299321</v>
      </c>
      <c r="T13" s="101">
        <f>P13/$P$12</f>
        <v>0.42859011912701883</v>
      </c>
      <c r="U13" s="106">
        <f>Q13/$Q$12</f>
        <v>0.29049661032897128</v>
      </c>
      <c r="V13" s="107">
        <f>R13/$R$12</f>
        <v>0.30085157266898477</v>
      </c>
      <c r="W13" s="75">
        <f t="shared" si="6"/>
        <v>0.67962110592750213</v>
      </c>
      <c r="X13" s="108">
        <f t="shared" si="6"/>
        <v>-0.41974653324646005</v>
      </c>
      <c r="Y13" s="109">
        <f t="shared" si="6"/>
        <v>0.12363643641434119</v>
      </c>
    </row>
    <row r="14" spans="1:25" x14ac:dyDescent="0.25">
      <c r="A14" s="69" t="s">
        <v>42</v>
      </c>
      <c r="B14" s="336">
        <v>813.44403063999994</v>
      </c>
      <c r="C14" s="336">
        <v>1032.1486344100001</v>
      </c>
      <c r="D14" s="336">
        <v>311.22717200999995</v>
      </c>
      <c r="E14" s="348">
        <v>315.41880156000002</v>
      </c>
      <c r="F14" s="101">
        <f>B14/$B$13</f>
        <v>0.65521228070790449</v>
      </c>
      <c r="G14" s="101">
        <f>C14/$C$13</f>
        <v>0.78856923687109726</v>
      </c>
      <c r="H14" s="101">
        <f>D14/$D$13</f>
        <v>0.52491589733401989</v>
      </c>
      <c r="I14" s="102">
        <f>E14/$E$13</f>
        <v>0.73041575650807289</v>
      </c>
      <c r="J14" s="75">
        <f t="shared" si="8"/>
        <v>0.26886250993559835</v>
      </c>
      <c r="K14" s="75">
        <f t="shared" si="8"/>
        <v>-0.69846671144616246</v>
      </c>
      <c r="L14" s="76">
        <f>E14/D14-1</f>
        <v>1.3468070679462985E-2</v>
      </c>
      <c r="M14" s="103"/>
      <c r="N14" s="104" t="s">
        <v>43</v>
      </c>
      <c r="O14" s="334">
        <v>66.702619279999993</v>
      </c>
      <c r="P14" s="334">
        <v>68.938426239999998</v>
      </c>
      <c r="Q14" s="334">
        <v>70.945559290000006</v>
      </c>
      <c r="R14" s="348">
        <v>77.597631250000006</v>
      </c>
      <c r="S14" s="101">
        <f>O14/$O$12</f>
        <v>0.14745557089070657</v>
      </c>
      <c r="T14" s="101">
        <f>P14/$P$12</f>
        <v>0.12180901378523308</v>
      </c>
      <c r="U14" s="106">
        <f>Q14/$Q$12</f>
        <v>0.14642810761132319</v>
      </c>
      <c r="V14" s="107">
        <f>R14/$R$12</f>
        <v>0.14761588693933855</v>
      </c>
      <c r="W14" s="75">
        <f t="shared" si="6"/>
        <v>3.3519027950231983E-2</v>
      </c>
      <c r="X14" s="108">
        <f t="shared" si="6"/>
        <v>2.9114866112731397E-2</v>
      </c>
      <c r="Y14" s="109">
        <f t="shared" si="6"/>
        <v>9.3763049112189245E-2</v>
      </c>
    </row>
    <row r="15" spans="1:25" ht="12.75" customHeight="1" x14ac:dyDescent="0.25">
      <c r="A15" s="69" t="s">
        <v>44</v>
      </c>
      <c r="B15" s="336">
        <v>6.8334132799999994</v>
      </c>
      <c r="C15" s="336">
        <v>6.8692879799999993</v>
      </c>
      <c r="D15" s="336">
        <v>7.2619859500000006</v>
      </c>
      <c r="E15" s="348">
        <v>7.8779610400000006</v>
      </c>
      <c r="F15" s="101">
        <f>B15/$B$13</f>
        <v>5.5041725448348455E-3</v>
      </c>
      <c r="G15" s="101">
        <f>C15/$C$13</f>
        <v>5.2481871308513919E-3</v>
      </c>
      <c r="H15" s="101">
        <f>D15/$D$13</f>
        <v>1.2248068980457836E-2</v>
      </c>
      <c r="I15" s="102">
        <f>E15/$E$13</f>
        <v>1.8243005313296597E-2</v>
      </c>
      <c r="J15" s="75">
        <f t="shared" si="8"/>
        <v>5.2498946763541721E-3</v>
      </c>
      <c r="K15" s="75">
        <f t="shared" si="8"/>
        <v>5.7167201483377283E-2</v>
      </c>
      <c r="L15" s="76">
        <f t="shared" si="8"/>
        <v>8.482185097039463E-2</v>
      </c>
      <c r="M15" s="103"/>
      <c r="N15" s="104" t="s">
        <v>45</v>
      </c>
      <c r="O15" s="334">
        <v>19.77016519</v>
      </c>
      <c r="P15" s="334">
        <v>20.061831760000004</v>
      </c>
      <c r="Q15" s="334">
        <v>21.510850990000009</v>
      </c>
      <c r="R15" s="348">
        <v>21.758339149999998</v>
      </c>
      <c r="S15" s="101">
        <f>O15/$O$12</f>
        <v>4.3704745423229871E-2</v>
      </c>
      <c r="T15" s="101">
        <f>P15/$P$12</f>
        <v>3.5447747717701129E-2</v>
      </c>
      <c r="U15" s="106">
        <f>Q15/$Q$12</f>
        <v>4.4397327120921461E-2</v>
      </c>
      <c r="V15" s="107">
        <f>R15/$R$12</f>
        <v>4.1391424972836183E-2</v>
      </c>
      <c r="W15" s="75">
        <f t="shared" si="6"/>
        <v>1.4752864591517589E-2</v>
      </c>
      <c r="X15" s="108">
        <f t="shared" si="6"/>
        <v>7.2227663322803393E-2</v>
      </c>
      <c r="Y15" s="109">
        <f t="shared" si="6"/>
        <v>1.1505270531372291E-2</v>
      </c>
    </row>
    <row r="16" spans="1:25" x14ac:dyDescent="0.25">
      <c r="A16" s="69" t="s">
        <v>46</v>
      </c>
      <c r="B16" s="336">
        <v>0.621</v>
      </c>
      <c r="C16" s="336">
        <v>0.61399999999999999</v>
      </c>
      <c r="D16" s="336">
        <v>0.624</v>
      </c>
      <c r="E16" s="348">
        <v>0.61799999999999999</v>
      </c>
      <c r="F16" s="101">
        <f>B16/$B$13</f>
        <v>5.0020260889919999E-4</v>
      </c>
      <c r="G16" s="101">
        <f>C16/$C$13</f>
        <v>4.6910056875250626E-4</v>
      </c>
      <c r="H16" s="101">
        <f>D16/$D$13</f>
        <v>1.0524386987839998E-3</v>
      </c>
      <c r="I16" s="102">
        <f>E16/$E$13</f>
        <v>1.4311034576552433E-3</v>
      </c>
      <c r="J16" s="75">
        <f t="shared" si="8"/>
        <v>-1.1272141706924366E-2</v>
      </c>
      <c r="K16" s="75">
        <f t="shared" si="8"/>
        <v>1.6286644951140072E-2</v>
      </c>
      <c r="L16" s="76">
        <f t="shared" si="8"/>
        <v>-9.6153846153845812E-3</v>
      </c>
      <c r="M16" s="103"/>
      <c r="N16" s="104" t="s">
        <v>47</v>
      </c>
      <c r="O16" s="334">
        <v>221.46946525999999</v>
      </c>
      <c r="P16" s="334">
        <v>234.39204854000002</v>
      </c>
      <c r="Q16" s="334">
        <v>251.30351136000002</v>
      </c>
      <c r="R16" s="348">
        <v>268.16722089000001</v>
      </c>
      <c r="S16" s="101">
        <f>O16/$O$12</f>
        <v>0.48958956615613142</v>
      </c>
      <c r="T16" s="101">
        <f>P16/$P$12</f>
        <v>0.41415311937004678</v>
      </c>
      <c r="U16" s="106">
        <f>Q16/$Q$12</f>
        <v>0.5186779549387841</v>
      </c>
      <c r="V16" s="107">
        <f>R16/$R$12</f>
        <v>0.51014111541884044</v>
      </c>
      <c r="W16" s="75">
        <f t="shared" si="6"/>
        <v>5.8349277471859251E-2</v>
      </c>
      <c r="X16" s="108">
        <f t="shared" si="6"/>
        <v>7.2150326452366853E-2</v>
      </c>
      <c r="Y16" s="109">
        <f t="shared" si="6"/>
        <v>6.7104949862169638E-2</v>
      </c>
    </row>
    <row r="17" spans="1:25" ht="12.75" customHeight="1" x14ac:dyDescent="0.25">
      <c r="A17" s="69" t="s">
        <v>48</v>
      </c>
      <c r="B17" s="336">
        <v>420.59847943</v>
      </c>
      <c r="C17" s="336">
        <v>269.25585328</v>
      </c>
      <c r="D17" s="336">
        <v>273.79548434000003</v>
      </c>
      <c r="E17" s="348">
        <v>107.91984495</v>
      </c>
      <c r="F17" s="101">
        <f>B17/$B$13</f>
        <v>0.33878334413836148</v>
      </c>
      <c r="G17" s="101">
        <f>C17/$C$13</f>
        <v>0.20571347542929866</v>
      </c>
      <c r="H17" s="101">
        <f>D17/$D$13</f>
        <v>0.46178359498673821</v>
      </c>
      <c r="I17" s="102">
        <f>E17/$E$13</f>
        <v>0.24991013472097531</v>
      </c>
      <c r="J17" s="75">
        <f t="shared" si="8"/>
        <v>-0.35982685043251061</v>
      </c>
      <c r="K17" s="75">
        <f t="shared" si="8"/>
        <v>1.6859915967283534E-2</v>
      </c>
      <c r="L17" s="76">
        <f>E17/D17-1</f>
        <v>-0.60583774706822835</v>
      </c>
      <c r="M17" s="113"/>
      <c r="N17" s="114"/>
      <c r="O17" s="336"/>
      <c r="P17" s="336"/>
      <c r="Q17" s="336"/>
      <c r="R17" s="115"/>
      <c r="S17" s="101"/>
      <c r="T17" s="101"/>
      <c r="U17" s="106"/>
      <c r="V17" s="107"/>
      <c r="W17" s="75"/>
      <c r="X17" s="108"/>
      <c r="Y17" s="109"/>
    </row>
    <row r="18" spans="1:25" s="98" customFormat="1" ht="11.5" x14ac:dyDescent="0.25">
      <c r="A18" s="69"/>
      <c r="B18" s="337"/>
      <c r="C18" s="337"/>
      <c r="D18" s="337"/>
      <c r="E18" s="105"/>
      <c r="F18" s="101"/>
      <c r="G18" s="101"/>
      <c r="H18" s="101"/>
      <c r="I18" s="102"/>
      <c r="J18" s="75"/>
      <c r="K18" s="75"/>
      <c r="L18" s="76"/>
      <c r="M18" s="103"/>
      <c r="N18" s="93" t="s">
        <v>51</v>
      </c>
      <c r="O18" s="351">
        <f t="shared" ref="O18" si="9">SUM(O19:O22)</f>
        <v>1366.74599455</v>
      </c>
      <c r="P18" s="351">
        <f>SUM(P19:P22)</f>
        <v>1368.8104355800001</v>
      </c>
      <c r="Q18" s="351">
        <f>SUM(Q19:Q22)</f>
        <v>984.03851841999995</v>
      </c>
      <c r="R18" s="351">
        <f>SUM(R19:R22)</f>
        <v>1078.72517984</v>
      </c>
      <c r="S18" s="88">
        <f>O18/$O$66</f>
        <v>9.224665892020753E-2</v>
      </c>
      <c r="T18" s="88">
        <f>P18/$P$66</f>
        <v>8.5669766504276448E-2</v>
      </c>
      <c r="U18" s="94">
        <f>Q18/$Q$66</f>
        <v>6.5272560107232841E-2</v>
      </c>
      <c r="V18" s="95">
        <f>R18/$R$66</f>
        <v>6.9495655669187986E-2</v>
      </c>
      <c r="W18" s="90">
        <f t="shared" ref="W18:Y22" si="10">P18/O18-1</f>
        <v>1.510478931880721E-3</v>
      </c>
      <c r="X18" s="96">
        <f t="shared" si="10"/>
        <v>-0.28109949132361955</v>
      </c>
      <c r="Y18" s="97">
        <f t="shared" si="10"/>
        <v>9.6222515325956604E-2</v>
      </c>
    </row>
    <row r="19" spans="1:25" s="116" customFormat="1" ht="11.5" x14ac:dyDescent="0.25">
      <c r="A19" s="86" t="s">
        <v>52</v>
      </c>
      <c r="B19" s="351">
        <f t="shared" ref="B19" si="11">SUM(B20:B23)</f>
        <v>55.316562310000002</v>
      </c>
      <c r="C19" s="351">
        <f>SUM(C20:C24)</f>
        <v>35.432882939999999</v>
      </c>
      <c r="D19" s="351">
        <f>SUM(D20:D24)</f>
        <v>35.78971714</v>
      </c>
      <c r="E19" s="351">
        <f>SUM(E20:E24)</f>
        <v>35.386761749999998</v>
      </c>
      <c r="F19" s="88">
        <f>B19/$B$51</f>
        <v>3.7416440452670719E-3</v>
      </c>
      <c r="G19" s="88">
        <f>C19/$C$51</f>
        <v>2.2248013250815287E-3</v>
      </c>
      <c r="H19" s="88">
        <f>D19/$D$51</f>
        <v>2.3788717226982548E-3</v>
      </c>
      <c r="I19" s="89">
        <f>E19/$E$51</f>
        <v>2.2885401191172464E-3</v>
      </c>
      <c r="J19" s="90">
        <f t="shared" ref="J19:L23" si="12">C19/B19-1</f>
        <v>-0.35945254982711528</v>
      </c>
      <c r="K19" s="90">
        <f t="shared" si="12"/>
        <v>1.0070707500833276E-2</v>
      </c>
      <c r="L19" s="91">
        <f>E19/D19-1</f>
        <v>-1.1258971073276336E-2</v>
      </c>
      <c r="M19" s="113"/>
      <c r="N19" s="104" t="s">
        <v>41</v>
      </c>
      <c r="O19" s="334">
        <v>1366.74599455</v>
      </c>
      <c r="P19" s="334">
        <v>1368.8104355800001</v>
      </c>
      <c r="Q19" s="334">
        <v>984.03851841999995</v>
      </c>
      <c r="R19" s="348">
        <v>1078.72517984</v>
      </c>
      <c r="S19" s="101"/>
      <c r="T19" s="101"/>
      <c r="U19" s="106"/>
      <c r="V19" s="107"/>
      <c r="W19" s="75">
        <f>P19/O19-1</f>
        <v>1.510478931880721E-3</v>
      </c>
      <c r="X19" s="108">
        <f t="shared" si="10"/>
        <v>-0.28109949132361955</v>
      </c>
      <c r="Y19" s="109">
        <f t="shared" si="10"/>
        <v>9.6222515325956604E-2</v>
      </c>
    </row>
    <row r="20" spans="1:25" s="116" customFormat="1" ht="11.5" x14ac:dyDescent="0.25">
      <c r="A20" s="69" t="s">
        <v>42</v>
      </c>
      <c r="B20" s="336">
        <v>11.51729802</v>
      </c>
      <c r="C20" s="336">
        <v>12.08966317</v>
      </c>
      <c r="D20" s="336">
        <v>12.33898093</v>
      </c>
      <c r="E20" s="348">
        <v>11.770554090000001</v>
      </c>
      <c r="F20" s="101">
        <f>B20/$B$19</f>
        <v>0.20820704575703414</v>
      </c>
      <c r="G20" s="101">
        <f>C20/$C$19</f>
        <v>0.34119897019025908</v>
      </c>
      <c r="H20" s="101">
        <f>D20/$D$19</f>
        <v>0.34476329840029574</v>
      </c>
      <c r="I20" s="102">
        <f>E20/$E$19</f>
        <v>0.33262591737431307</v>
      </c>
      <c r="J20" s="75">
        <f t="shared" si="12"/>
        <v>4.9696130898590596E-2</v>
      </c>
      <c r="K20" s="75">
        <f t="shared" si="12"/>
        <v>2.0622390921417155E-2</v>
      </c>
      <c r="L20" s="76">
        <f t="shared" si="12"/>
        <v>-4.6067567753344307E-2</v>
      </c>
      <c r="M20" s="103"/>
      <c r="N20" s="104" t="s">
        <v>43</v>
      </c>
      <c r="O20" s="334">
        <v>0</v>
      </c>
      <c r="P20" s="334">
        <v>0</v>
      </c>
      <c r="Q20" s="334">
        <v>0</v>
      </c>
      <c r="R20" s="348">
        <v>0</v>
      </c>
      <c r="S20" s="101"/>
      <c r="T20" s="101"/>
      <c r="U20" s="106"/>
      <c r="V20" s="107"/>
      <c r="W20" s="75" t="e">
        <f t="shared" si="10"/>
        <v>#DIV/0!</v>
      </c>
      <c r="X20" s="108" t="e">
        <f t="shared" si="10"/>
        <v>#DIV/0!</v>
      </c>
      <c r="Y20" s="109" t="e">
        <f t="shared" si="10"/>
        <v>#DIV/0!</v>
      </c>
    </row>
    <row r="21" spans="1:25" s="118" customFormat="1" ht="12.75" customHeight="1" x14ac:dyDescent="0.25">
      <c r="A21" s="69" t="s">
        <v>44</v>
      </c>
      <c r="B21" s="336">
        <v>24.959690270000003</v>
      </c>
      <c r="C21" s="336">
        <v>3.1759518799999999</v>
      </c>
      <c r="D21" s="336">
        <v>4.03883817</v>
      </c>
      <c r="E21" s="348">
        <v>4.1528955300000003</v>
      </c>
      <c r="F21" s="101">
        <f>B21/$B$19</f>
        <v>0.45121549907825431</v>
      </c>
      <c r="G21" s="101">
        <f>C21/$C$19</f>
        <v>8.9632895109832689E-2</v>
      </c>
      <c r="H21" s="101">
        <f>D21/$D$19</f>
        <v>0.11284912239460074</v>
      </c>
      <c r="I21" s="102">
        <f>E21/$E$19</f>
        <v>0.11735732021311615</v>
      </c>
      <c r="J21" s="75">
        <f t="shared" si="12"/>
        <v>-0.87275675917271711</v>
      </c>
      <c r="K21" s="75">
        <f t="shared" si="12"/>
        <v>0.27169375437766385</v>
      </c>
      <c r="L21" s="76">
        <f t="shared" si="12"/>
        <v>2.8240141149304954E-2</v>
      </c>
      <c r="M21" s="117"/>
      <c r="N21" s="104" t="s">
        <v>45</v>
      </c>
      <c r="O21" s="334">
        <v>0</v>
      </c>
      <c r="P21" s="334">
        <v>0</v>
      </c>
      <c r="Q21" s="334">
        <v>0</v>
      </c>
      <c r="R21" s="348">
        <v>0</v>
      </c>
      <c r="S21" s="101"/>
      <c r="T21" s="101"/>
      <c r="U21" s="106"/>
      <c r="V21" s="107"/>
      <c r="W21" s="75" t="e">
        <f t="shared" si="10"/>
        <v>#DIV/0!</v>
      </c>
      <c r="X21" s="108" t="e">
        <f t="shared" si="10"/>
        <v>#DIV/0!</v>
      </c>
      <c r="Y21" s="109" t="e">
        <f t="shared" si="10"/>
        <v>#DIV/0!</v>
      </c>
    </row>
    <row r="22" spans="1:25" s="98" customFormat="1" ht="11.5" x14ac:dyDescent="0.25">
      <c r="A22" s="69" t="s">
        <v>46</v>
      </c>
      <c r="B22" s="336">
        <v>5.6228449600000001</v>
      </c>
      <c r="C22" s="336">
        <v>5.8455808700000009</v>
      </c>
      <c r="D22" s="336">
        <v>6.11649434</v>
      </c>
      <c r="E22" s="348">
        <v>6.51325033</v>
      </c>
      <c r="F22" s="101">
        <f>B22/$B$19</f>
        <v>0.1016484887200504</v>
      </c>
      <c r="G22" s="101">
        <f>C22/$C$19</f>
        <v>0.16497615731405685</v>
      </c>
      <c r="H22" s="101">
        <f>D22/$D$19</f>
        <v>0.17090088519207558</v>
      </c>
      <c r="I22" s="102">
        <f>E22/$E$19</f>
        <v>0.18405895334573813</v>
      </c>
      <c r="J22" s="75">
        <f t="shared" si="12"/>
        <v>3.9612671447373682E-2</v>
      </c>
      <c r="K22" s="75">
        <f t="shared" si="12"/>
        <v>4.6345004204859874E-2</v>
      </c>
      <c r="L22" s="76">
        <f t="shared" si="12"/>
        <v>6.4866567014594922E-2</v>
      </c>
      <c r="M22" s="103"/>
      <c r="N22" s="104" t="s">
        <v>47</v>
      </c>
      <c r="O22" s="334">
        <v>0</v>
      </c>
      <c r="P22" s="334">
        <v>0</v>
      </c>
      <c r="Q22" s="334">
        <v>0</v>
      </c>
      <c r="R22" s="348">
        <v>0</v>
      </c>
      <c r="S22" s="101"/>
      <c r="T22" s="101"/>
      <c r="U22" s="106"/>
      <c r="V22" s="107"/>
      <c r="W22" s="75" t="e">
        <f t="shared" si="10"/>
        <v>#DIV/0!</v>
      </c>
      <c r="X22" s="108" t="e">
        <f t="shared" si="10"/>
        <v>#DIV/0!</v>
      </c>
      <c r="Y22" s="109" t="e">
        <f t="shared" si="10"/>
        <v>#DIV/0!</v>
      </c>
    </row>
    <row r="23" spans="1:25" s="116" customFormat="1" ht="11.5" x14ac:dyDescent="0.25">
      <c r="A23" s="69" t="s">
        <v>48</v>
      </c>
      <c r="B23" s="336">
        <v>13.216729059999999</v>
      </c>
      <c r="C23" s="336">
        <v>14.52168702</v>
      </c>
      <c r="D23" s="336">
        <v>13.2449677</v>
      </c>
      <c r="E23" s="348">
        <v>12.956246630000001</v>
      </c>
      <c r="F23" s="101">
        <f>B23/$B$19</f>
        <v>0.23892896644466116</v>
      </c>
      <c r="G23" s="101">
        <f>C23/$C$19</f>
        <v>0.40983645176685701</v>
      </c>
      <c r="H23" s="101">
        <f>D23/$D$19</f>
        <v>0.37007746242277229</v>
      </c>
      <c r="I23" s="102">
        <f>E23/$E$19</f>
        <v>0.36613258713903091</v>
      </c>
      <c r="J23" s="75">
        <f t="shared" si="12"/>
        <v>9.873531900940713E-2</v>
      </c>
      <c r="K23" s="75">
        <f t="shared" si="12"/>
        <v>-8.7918112974176954E-2</v>
      </c>
      <c r="L23" s="76">
        <f t="shared" si="12"/>
        <v>-2.1798548440401189E-2</v>
      </c>
      <c r="M23" s="113"/>
      <c r="N23" s="104"/>
      <c r="O23" s="334"/>
      <c r="P23" s="334"/>
      <c r="Q23" s="334"/>
      <c r="R23" s="105"/>
      <c r="S23" s="101"/>
      <c r="T23" s="101"/>
      <c r="U23" s="106"/>
      <c r="V23" s="107"/>
      <c r="W23" s="75"/>
      <c r="X23" s="108"/>
      <c r="Y23" s="109"/>
    </row>
    <row r="24" spans="1:25" s="116" customFormat="1" ht="11.5" x14ac:dyDescent="0.25">
      <c r="A24" s="374" t="s">
        <v>140</v>
      </c>
      <c r="B24" s="337"/>
      <c r="C24" s="336">
        <v>-0.2</v>
      </c>
      <c r="D24" s="336">
        <v>5.0435999999999995E-2</v>
      </c>
      <c r="E24" s="348">
        <v>-6.1848300000000023E-3</v>
      </c>
      <c r="F24" s="101"/>
      <c r="G24" s="101"/>
      <c r="H24" s="101"/>
      <c r="I24" s="102"/>
      <c r="J24" s="75"/>
      <c r="K24" s="75"/>
      <c r="L24" s="76"/>
      <c r="M24" s="103"/>
      <c r="N24" s="93" t="s">
        <v>53</v>
      </c>
      <c r="O24" s="351">
        <f t="shared" ref="O24" si="13">SUM(O25:O28)</f>
        <v>0</v>
      </c>
      <c r="P24" s="351">
        <f>SUM(P25:P28)</f>
        <v>12.164656880000001</v>
      </c>
      <c r="Q24" s="351">
        <f>SUM(Q25:Q28)</f>
        <v>12.11324235</v>
      </c>
      <c r="R24" s="351">
        <f>SUM(R25:R28)</f>
        <v>11.665937100000001</v>
      </c>
      <c r="S24" s="88">
        <f>O24/$O$66</f>
        <v>0</v>
      </c>
      <c r="T24" s="88">
        <f>P24/$P$66</f>
        <v>7.6134962696471358E-4</v>
      </c>
      <c r="U24" s="94">
        <f>Q24/$Q$66</f>
        <v>8.0348718529165211E-4</v>
      </c>
      <c r="V24" s="95">
        <f>R24/$R$66</f>
        <v>7.5156486833862152E-4</v>
      </c>
      <c r="W24" s="90" t="e">
        <f t="shared" ref="W24:Y28" si="14">P24/O24-1</f>
        <v>#DIV/0!</v>
      </c>
      <c r="X24" s="96">
        <f t="shared" si="14"/>
        <v>-4.2265499559245301E-3</v>
      </c>
      <c r="Y24" s="97">
        <f t="shared" si="14"/>
        <v>-3.6926962829237797E-2</v>
      </c>
    </row>
    <row r="25" spans="1:25" s="116" customFormat="1" ht="11.5" x14ac:dyDescent="0.25">
      <c r="A25" s="86" t="s">
        <v>54</v>
      </c>
      <c r="B25" s="351">
        <f>B19+B13</f>
        <v>1296.81348566</v>
      </c>
      <c r="C25" s="351">
        <f>C19+C13</f>
        <v>1344.3206586100002</v>
      </c>
      <c r="D25" s="351">
        <f>D19+D13</f>
        <v>628.69835943999999</v>
      </c>
      <c r="E25" s="351">
        <f>E19+E13</f>
        <v>467.22136929999999</v>
      </c>
      <c r="F25" s="88">
        <f>B25/$B$51</f>
        <v>8.7717208984344319E-2</v>
      </c>
      <c r="G25" s="88">
        <f>C25/$C$51</f>
        <v>8.4408778920826988E-2</v>
      </c>
      <c r="H25" s="88">
        <f>D25/$D$51</f>
        <v>4.1788336675817585E-2</v>
      </c>
      <c r="I25" s="89">
        <f>E25/$E$51</f>
        <v>3.0216238934379039E-2</v>
      </c>
      <c r="J25" s="90">
        <f>C25/B25-1</f>
        <v>3.6633774613950676E-2</v>
      </c>
      <c r="K25" s="90">
        <f>D25/C25-1</f>
        <v>-0.53233006172049668</v>
      </c>
      <c r="L25" s="91">
        <f>E25/D25-1</f>
        <v>-0.25684334580391188</v>
      </c>
      <c r="M25" s="103"/>
      <c r="N25" s="104" t="s">
        <v>41</v>
      </c>
      <c r="O25" s="334">
        <v>0</v>
      </c>
      <c r="P25" s="334">
        <v>0</v>
      </c>
      <c r="Q25" s="334">
        <v>0</v>
      </c>
      <c r="R25" s="348">
        <v>0</v>
      </c>
      <c r="S25" s="101" t="e">
        <f>O25/$O$24</f>
        <v>#DIV/0!</v>
      </c>
      <c r="T25" s="101">
        <f>P25/$P$24</f>
        <v>0</v>
      </c>
      <c r="U25" s="106">
        <f>Q25/$Q$24</f>
        <v>0</v>
      </c>
      <c r="V25" s="107">
        <f>R25/$R$24</f>
        <v>0</v>
      </c>
      <c r="W25" s="75" t="e">
        <f t="shared" si="14"/>
        <v>#DIV/0!</v>
      </c>
      <c r="X25" s="108" t="e">
        <f t="shared" si="14"/>
        <v>#DIV/0!</v>
      </c>
      <c r="Y25" s="109" t="e">
        <f t="shared" si="14"/>
        <v>#DIV/0!</v>
      </c>
    </row>
    <row r="26" spans="1:25" s="118" customFormat="1" ht="12.75" customHeight="1" x14ac:dyDescent="0.25">
      <c r="A26" s="69"/>
      <c r="B26" s="337"/>
      <c r="C26" s="337"/>
      <c r="D26" s="337"/>
      <c r="E26" s="105"/>
      <c r="F26" s="101"/>
      <c r="G26" s="101"/>
      <c r="H26" s="101"/>
      <c r="I26" s="102"/>
      <c r="J26" s="75"/>
      <c r="K26" s="75"/>
      <c r="L26" s="76"/>
      <c r="M26" s="103"/>
      <c r="N26" s="104" t="s">
        <v>43</v>
      </c>
      <c r="O26" s="334">
        <v>0</v>
      </c>
      <c r="P26" s="334">
        <v>0</v>
      </c>
      <c r="Q26" s="334">
        <v>0</v>
      </c>
      <c r="R26" s="348">
        <v>0</v>
      </c>
      <c r="S26" s="101" t="e">
        <f>O26/$O$24</f>
        <v>#DIV/0!</v>
      </c>
      <c r="T26" s="101">
        <f>P26/$P$24</f>
        <v>0</v>
      </c>
      <c r="U26" s="106">
        <f>Q26/$Q$24</f>
        <v>0</v>
      </c>
      <c r="V26" s="107">
        <f>R26/$R$24</f>
        <v>0</v>
      </c>
      <c r="W26" s="75" t="e">
        <f t="shared" si="14"/>
        <v>#DIV/0!</v>
      </c>
      <c r="X26" s="108" t="e">
        <f t="shared" si="14"/>
        <v>#DIV/0!</v>
      </c>
      <c r="Y26" s="109" t="e">
        <f t="shared" si="14"/>
        <v>#DIV/0!</v>
      </c>
    </row>
    <row r="27" spans="1:25" s="98" customFormat="1" ht="11.5" x14ac:dyDescent="0.25">
      <c r="A27" s="86" t="s">
        <v>55</v>
      </c>
      <c r="B27" s="351">
        <f t="shared" ref="B27" si="15">SUM(B28:B31)</f>
        <v>1.2604966399999999</v>
      </c>
      <c r="C27" s="351">
        <f>SUM(C28:C31)</f>
        <v>1.2555534400000001</v>
      </c>
      <c r="D27" s="351">
        <f>SUM(D28:D31)</f>
        <v>1.8401278300000001</v>
      </c>
      <c r="E27" s="351">
        <f>SUM(E28:E31)</f>
        <v>3.1788032599999996</v>
      </c>
      <c r="F27" s="88">
        <f>B27/$B$51</f>
        <v>8.5260716685616324E-5</v>
      </c>
      <c r="G27" s="88">
        <f>C27/$C$51</f>
        <v>7.883515890459101E-5</v>
      </c>
      <c r="H27" s="88">
        <f>D27/$D$51</f>
        <v>1.2230965793369502E-4</v>
      </c>
      <c r="I27" s="89">
        <f>E27/$E$51</f>
        <v>2.0558023485408891E-4</v>
      </c>
      <c r="J27" s="90">
        <f t="shared" ref="J27:L31" si="16">C27/B27-1</f>
        <v>-3.9216288589232207E-3</v>
      </c>
      <c r="K27" s="90">
        <f t="shared" si="16"/>
        <v>0.46559100662413844</v>
      </c>
      <c r="L27" s="91">
        <f t="shared" si="16"/>
        <v>0.72749045374744381</v>
      </c>
      <c r="M27" s="103"/>
      <c r="N27" s="104" t="s">
        <v>45</v>
      </c>
      <c r="O27" s="334">
        <v>0</v>
      </c>
      <c r="P27" s="334">
        <v>12.164656880000001</v>
      </c>
      <c r="Q27" s="334">
        <v>12.11324235</v>
      </c>
      <c r="R27" s="348">
        <v>11.665937100000001</v>
      </c>
      <c r="S27" s="101" t="e">
        <f>O27/$O$24</f>
        <v>#DIV/0!</v>
      </c>
      <c r="T27" s="101">
        <f>P27/$P$24</f>
        <v>1</v>
      </c>
      <c r="U27" s="106">
        <f>Q27/$Q$24</f>
        <v>1</v>
      </c>
      <c r="V27" s="107">
        <f>R27/$R$24</f>
        <v>1</v>
      </c>
      <c r="W27" s="75" t="e">
        <f t="shared" si="14"/>
        <v>#DIV/0!</v>
      </c>
      <c r="X27" s="108">
        <f t="shared" si="14"/>
        <v>-4.2265499559245301E-3</v>
      </c>
      <c r="Y27" s="109">
        <f t="shared" si="14"/>
        <v>-3.6926962829237797E-2</v>
      </c>
    </row>
    <row r="28" spans="1:25" s="98" customFormat="1" ht="12.75" customHeight="1" x14ac:dyDescent="0.25">
      <c r="A28" s="69" t="s">
        <v>42</v>
      </c>
      <c r="B28" s="336">
        <v>0.50093024999999991</v>
      </c>
      <c r="C28" s="336">
        <v>0.33524759000000004</v>
      </c>
      <c r="D28" s="336">
        <v>0.39359049000000002</v>
      </c>
      <c r="E28" s="348">
        <v>0.44203855999999997</v>
      </c>
      <c r="F28" s="101">
        <f>B28/$B$27</f>
        <v>0.39740704901839319</v>
      </c>
      <c r="G28" s="101">
        <f>C28/$C$27</f>
        <v>0.26701180477033298</v>
      </c>
      <c r="H28" s="101">
        <f>D28/$D$27</f>
        <v>0.21389301524775048</v>
      </c>
      <c r="I28" s="102">
        <f>E28/$E$27</f>
        <v>0.13905816870214233</v>
      </c>
      <c r="J28" s="75">
        <f t="shared" si="16"/>
        <v>-0.330749959699978</v>
      </c>
      <c r="K28" s="75">
        <f t="shared" si="16"/>
        <v>0.17402928981532706</v>
      </c>
      <c r="L28" s="76">
        <f t="shared" si="16"/>
        <v>0.1230925828517857</v>
      </c>
      <c r="M28" s="103"/>
      <c r="N28" s="104" t="s">
        <v>47</v>
      </c>
      <c r="O28" s="334">
        <v>0</v>
      </c>
      <c r="P28" s="334">
        <v>0</v>
      </c>
      <c r="Q28" s="334">
        <v>0</v>
      </c>
      <c r="R28" s="348">
        <v>0</v>
      </c>
      <c r="S28" s="101" t="e">
        <f>O28/$O$24</f>
        <v>#DIV/0!</v>
      </c>
      <c r="T28" s="101">
        <f>P28/$P$24</f>
        <v>0</v>
      </c>
      <c r="U28" s="106">
        <f>Q28/$Q$24</f>
        <v>0</v>
      </c>
      <c r="V28" s="107">
        <f>R28/$R$24</f>
        <v>0</v>
      </c>
      <c r="W28" s="75" t="e">
        <f t="shared" si="14"/>
        <v>#DIV/0!</v>
      </c>
      <c r="X28" s="108" t="e">
        <f t="shared" si="14"/>
        <v>#DIV/0!</v>
      </c>
      <c r="Y28" s="109" t="e">
        <f t="shared" si="14"/>
        <v>#DIV/0!</v>
      </c>
    </row>
    <row r="29" spans="1:25" s="98" customFormat="1" ht="12.75" customHeight="1" x14ac:dyDescent="0.25">
      <c r="A29" s="69" t="s">
        <v>44</v>
      </c>
      <c r="B29" s="336">
        <v>0.23859891</v>
      </c>
      <c r="C29" s="336">
        <v>0.54995190999999999</v>
      </c>
      <c r="D29" s="336">
        <v>1.0485484300000001</v>
      </c>
      <c r="E29" s="348">
        <v>2.3008533399999997</v>
      </c>
      <c r="F29" s="101">
        <f>B29/$B$27</f>
        <v>0.18928960413571591</v>
      </c>
      <c r="G29" s="101">
        <f>C29/$C$27</f>
        <v>0.43801553361201412</v>
      </c>
      <c r="H29" s="101">
        <f>D29/$D$27</f>
        <v>0.56982368991180354</v>
      </c>
      <c r="I29" s="102">
        <f>E29/$E$27</f>
        <v>0.72381118043776016</v>
      </c>
      <c r="J29" s="75">
        <f t="shared" si="16"/>
        <v>1.3049221389988745</v>
      </c>
      <c r="K29" s="75">
        <f t="shared" si="16"/>
        <v>0.90661839868871463</v>
      </c>
      <c r="L29" s="76">
        <f t="shared" si="16"/>
        <v>1.194322431058334</v>
      </c>
      <c r="M29" s="113"/>
      <c r="N29" s="104"/>
      <c r="O29" s="334"/>
      <c r="P29" s="334"/>
      <c r="Q29" s="334"/>
      <c r="R29" s="105"/>
      <c r="S29" s="101"/>
      <c r="T29" s="101"/>
      <c r="U29" s="106"/>
      <c r="V29" s="107"/>
      <c r="W29" s="75"/>
      <c r="X29" s="108"/>
      <c r="Y29" s="109"/>
    </row>
    <row r="30" spans="1:25" s="116" customFormat="1" ht="12.75" customHeight="1" x14ac:dyDescent="0.25">
      <c r="A30" s="69" t="s">
        <v>46</v>
      </c>
      <c r="B30" s="336">
        <v>0.29483323</v>
      </c>
      <c r="C30" s="336">
        <v>0.22142157000000001</v>
      </c>
      <c r="D30" s="336">
        <v>0.24857645</v>
      </c>
      <c r="E30" s="348">
        <v>0.26726557000000001</v>
      </c>
      <c r="F30" s="101">
        <f>B30/$B$27</f>
        <v>0.23390243229843122</v>
      </c>
      <c r="G30" s="101">
        <f>C30/$C$27</f>
        <v>0.17635375998014069</v>
      </c>
      <c r="H30" s="101">
        <f>D30/$D$27</f>
        <v>0.13508651189738269</v>
      </c>
      <c r="I30" s="102">
        <f>E30/$E$27</f>
        <v>8.4077417864482765E-2</v>
      </c>
      <c r="J30" s="75">
        <f t="shared" si="16"/>
        <v>-0.24899384645346789</v>
      </c>
      <c r="K30" s="75">
        <f t="shared" si="16"/>
        <v>0.12263881969584078</v>
      </c>
      <c r="L30" s="76">
        <f t="shared" si="16"/>
        <v>7.5184596127267911E-2</v>
      </c>
      <c r="M30" s="103"/>
      <c r="N30" s="93" t="s">
        <v>121</v>
      </c>
      <c r="O30" s="351">
        <f t="shared" ref="O30" si="17">SUM(O31:O34)</f>
        <v>2227.97233585</v>
      </c>
      <c r="P30" s="351">
        <f>SUM(P31:P34)</f>
        <v>2865.9687930600003</v>
      </c>
      <c r="Q30" s="351">
        <f>SUM(Q31:Q34)</f>
        <v>2808.8809290999998</v>
      </c>
      <c r="R30" s="351">
        <f>SUM(R31:R34)</f>
        <v>2789.0717050599997</v>
      </c>
      <c r="S30" s="88">
        <f>O30/$O$66</f>
        <v>0.15037395753735594</v>
      </c>
      <c r="T30" s="88">
        <f>P30/$P$66</f>
        <v>0.17937244700063759</v>
      </c>
      <c r="U30" s="94">
        <f>Q30/$Q$66</f>
        <v>0.18631674050028063</v>
      </c>
      <c r="V30" s="95">
        <f>R30/$R$66</f>
        <v>0.17968280566165518</v>
      </c>
      <c r="W30" s="90">
        <f t="shared" ref="W30:W34" si="18">P30/O30-1</f>
        <v>0.28635744122316331</v>
      </c>
      <c r="X30" s="96">
        <f t="shared" ref="X30:X34" si="19">Q30/P30-1</f>
        <v>-1.9919220369126078E-2</v>
      </c>
      <c r="Y30" s="97">
        <f t="shared" ref="Y30:Y34" si="20">R30/Q30-1</f>
        <v>-7.0523544927720838E-3</v>
      </c>
    </row>
    <row r="31" spans="1:25" s="116" customFormat="1" ht="12.75" customHeight="1" x14ac:dyDescent="0.25">
      <c r="A31" s="69" t="s">
        <v>48</v>
      </c>
      <c r="B31" s="336">
        <v>0.22613424999999998</v>
      </c>
      <c r="C31" s="336">
        <v>0.14893236999999998</v>
      </c>
      <c r="D31" s="336">
        <v>0.14941246</v>
      </c>
      <c r="E31" s="348">
        <v>0.16864579000000002</v>
      </c>
      <c r="F31" s="101">
        <f>B31/$B$27</f>
        <v>0.17940091454745963</v>
      </c>
      <c r="G31" s="101">
        <f>C31/$C$27</f>
        <v>0.11861890163751211</v>
      </c>
      <c r="H31" s="101">
        <f>D31/$D$27</f>
        <v>8.1196782943063248E-2</v>
      </c>
      <c r="I31" s="102">
        <f>E31/$E$27</f>
        <v>5.3053232995614846E-2</v>
      </c>
      <c r="J31" s="75">
        <f t="shared" si="16"/>
        <v>-0.34139843920149204</v>
      </c>
      <c r="K31" s="75">
        <f t="shared" si="16"/>
        <v>3.223543679591101E-3</v>
      </c>
      <c r="L31" s="76">
        <f t="shared" si="16"/>
        <v>0.12872641277708707</v>
      </c>
      <c r="M31" s="113"/>
      <c r="N31" s="104" t="s">
        <v>56</v>
      </c>
      <c r="O31" s="334">
        <v>2049.2379871600001</v>
      </c>
      <c r="P31" s="334">
        <v>2672.4198642800002</v>
      </c>
      <c r="Q31" s="334">
        <v>2684.8293950799998</v>
      </c>
      <c r="R31" s="348">
        <v>2740.6044712799999</v>
      </c>
      <c r="S31" s="347">
        <f>O31/$O$36</f>
        <v>0.49145384325898295</v>
      </c>
      <c r="T31" s="101">
        <f>P31/$P$36</f>
        <v>0.55274788196620883</v>
      </c>
      <c r="U31" s="106">
        <f>Q31/$Q$36</f>
        <v>0.65811539718105216</v>
      </c>
      <c r="V31" s="107">
        <f>R31/$R$36</f>
        <v>0.67175273623681964</v>
      </c>
      <c r="W31" s="75">
        <f t="shared" si="18"/>
        <v>0.30410419923146947</v>
      </c>
      <c r="X31" s="108">
        <f t="shared" si="19"/>
        <v>4.6435558146635803E-3</v>
      </c>
      <c r="Y31" s="109">
        <f t="shared" si="20"/>
        <v>2.0774160288250965E-2</v>
      </c>
    </row>
    <row r="32" spans="1:25" s="116" customFormat="1" ht="12.75" customHeight="1" x14ac:dyDescent="0.25">
      <c r="A32" s="99"/>
      <c r="B32" s="338"/>
      <c r="C32" s="338"/>
      <c r="D32" s="338"/>
      <c r="E32" s="87"/>
      <c r="F32" s="119"/>
      <c r="G32" s="119"/>
      <c r="H32" s="119"/>
      <c r="I32" s="120"/>
      <c r="J32" s="121"/>
      <c r="K32" s="121"/>
      <c r="L32" s="122"/>
      <c r="M32" s="103"/>
      <c r="N32" s="104" t="s">
        <v>43</v>
      </c>
      <c r="O32" s="334">
        <v>178.73434868999999</v>
      </c>
      <c r="P32" s="334">
        <v>193.54892878000001</v>
      </c>
      <c r="Q32" s="334">
        <v>124.05153402000001</v>
      </c>
      <c r="R32" s="348">
        <v>48.467233780000001</v>
      </c>
      <c r="S32" s="347">
        <f>O32/$O$36</f>
        <v>4.2864558990450399E-2</v>
      </c>
      <c r="T32" s="101">
        <f>P32/$P$36</f>
        <v>4.0032541993096221E-2</v>
      </c>
      <c r="U32" s="106">
        <f>Q32/$Q$36</f>
        <v>3.0407974797988412E-2</v>
      </c>
      <c r="V32" s="107">
        <f>R32/$R$36</f>
        <v>1.1879859808569312E-2</v>
      </c>
      <c r="W32" s="75">
        <f t="shared" si="18"/>
        <v>8.2886027216261038E-2</v>
      </c>
      <c r="X32" s="108">
        <f t="shared" si="19"/>
        <v>-0.35906886800182269</v>
      </c>
      <c r="Y32" s="109">
        <f t="shared" si="20"/>
        <v>-0.60929758617748364</v>
      </c>
    </row>
    <row r="33" spans="1:25" s="118" customFormat="1" ht="12.75" customHeight="1" x14ac:dyDescent="0.25">
      <c r="A33" s="86" t="s">
        <v>57</v>
      </c>
      <c r="B33" s="351">
        <f t="shared" ref="B33" si="21">SUM(B34:B37)</f>
        <v>3.1683161599999998</v>
      </c>
      <c r="C33" s="351">
        <f>SUM(C34:C37)</f>
        <v>3.9295794599999994</v>
      </c>
      <c r="D33" s="351">
        <f>SUM(D34:D37)</f>
        <v>2.4639541299999999</v>
      </c>
      <c r="E33" s="351">
        <f>SUM(E34:E37)</f>
        <v>0</v>
      </c>
      <c r="F33" s="88">
        <f>B33/$B$51</f>
        <v>2.1430672475907577E-4</v>
      </c>
      <c r="G33" s="88">
        <f>C33/$C$51</f>
        <v>2.4673503435848723E-4</v>
      </c>
      <c r="H33" s="88">
        <f>D33/$D$51</f>
        <v>1.6377415845322823E-4</v>
      </c>
      <c r="I33" s="89">
        <f>E33/$E$51</f>
        <v>0</v>
      </c>
      <c r="J33" s="90">
        <f t="shared" ref="J33:L37" si="22">C33/B33-1</f>
        <v>0.24027378000054123</v>
      </c>
      <c r="K33" s="90">
        <f t="shared" si="22"/>
        <v>-0.37297256485557861</v>
      </c>
      <c r="L33" s="91">
        <f t="shared" si="22"/>
        <v>-1</v>
      </c>
      <c r="M33" s="92"/>
      <c r="N33" s="104" t="s">
        <v>45</v>
      </c>
      <c r="O33" s="334"/>
      <c r="P33" s="334"/>
      <c r="Q33" s="334"/>
      <c r="R33" s="346"/>
      <c r="S33" s="347">
        <f>O33/$O$36</f>
        <v>0</v>
      </c>
      <c r="T33" s="101">
        <f>P33/$P$36</f>
        <v>0</v>
      </c>
      <c r="U33" s="106">
        <f>Q33/$Q$36</f>
        <v>0</v>
      </c>
      <c r="V33" s="107">
        <f>R33/$R$36</f>
        <v>0</v>
      </c>
      <c r="W33" s="75" t="e">
        <f t="shared" si="18"/>
        <v>#DIV/0!</v>
      </c>
      <c r="X33" s="108" t="e">
        <f t="shared" si="19"/>
        <v>#DIV/0!</v>
      </c>
      <c r="Y33" s="109" t="e">
        <f t="shared" si="20"/>
        <v>#DIV/0!</v>
      </c>
    </row>
    <row r="34" spans="1:25" s="116" customFormat="1" ht="12.75" customHeight="1" x14ac:dyDescent="0.25">
      <c r="A34" s="69" t="s">
        <v>42</v>
      </c>
      <c r="B34" s="336">
        <v>1.4702144100000001</v>
      </c>
      <c r="C34" s="336">
        <v>1.7763031099999997</v>
      </c>
      <c r="D34" s="336">
        <v>1.15363785</v>
      </c>
      <c r="E34" s="348">
        <v>0</v>
      </c>
      <c r="F34" s="101">
        <f>B34/$B$33</f>
        <v>0.4640365215319926</v>
      </c>
      <c r="G34" s="101">
        <f>C34/$C$33</f>
        <v>0.45203389525046023</v>
      </c>
      <c r="H34" s="101">
        <f>D34/$D$33</f>
        <v>0.46820589553751152</v>
      </c>
      <c r="I34" s="102" t="e">
        <f>E34/$E$33</f>
        <v>#DIV/0!</v>
      </c>
      <c r="J34" s="75">
        <f t="shared" si="22"/>
        <v>0.20819323897117803</v>
      </c>
      <c r="K34" s="75">
        <f t="shared" si="22"/>
        <v>-0.35053998188406021</v>
      </c>
      <c r="L34" s="76">
        <f t="shared" si="22"/>
        <v>-1</v>
      </c>
      <c r="M34" s="110"/>
      <c r="N34" s="104" t="s">
        <v>47</v>
      </c>
      <c r="O34" s="334"/>
      <c r="P34" s="334"/>
      <c r="Q34" s="334"/>
      <c r="R34" s="346"/>
      <c r="S34" s="347">
        <f>O34/$O$36</f>
        <v>0</v>
      </c>
      <c r="T34" s="101">
        <f>P34/$P$36</f>
        <v>0</v>
      </c>
      <c r="U34" s="106">
        <f>Q34/$Q$36</f>
        <v>0</v>
      </c>
      <c r="V34" s="107">
        <f>R34/$R$36</f>
        <v>0</v>
      </c>
      <c r="W34" s="75" t="e">
        <f t="shared" si="18"/>
        <v>#DIV/0!</v>
      </c>
      <c r="X34" s="108" t="e">
        <f t="shared" si="19"/>
        <v>#DIV/0!</v>
      </c>
      <c r="Y34" s="109" t="e">
        <f t="shared" si="20"/>
        <v>#DIV/0!</v>
      </c>
    </row>
    <row r="35" spans="1:25" s="98" customFormat="1" ht="12.75" customHeight="1" x14ac:dyDescent="0.25">
      <c r="A35" s="69" t="s">
        <v>44</v>
      </c>
      <c r="B35" s="336">
        <v>0.17044961</v>
      </c>
      <c r="C35" s="336">
        <v>0.20006372</v>
      </c>
      <c r="D35" s="336">
        <v>0.15138835</v>
      </c>
      <c r="E35" s="348">
        <v>0</v>
      </c>
      <c r="F35" s="101">
        <f>B35/$B$33</f>
        <v>5.3798169561461953E-2</v>
      </c>
      <c r="G35" s="101">
        <f>C35/$C$33</f>
        <v>5.0912246981258402E-2</v>
      </c>
      <c r="H35" s="101">
        <f>D35/$D$33</f>
        <v>6.1441220904546637E-2</v>
      </c>
      <c r="I35" s="102" t="e">
        <f>E35/$E$33</f>
        <v>#DIV/0!</v>
      </c>
      <c r="J35" s="75">
        <f t="shared" si="22"/>
        <v>0.17374114261687068</v>
      </c>
      <c r="K35" s="75">
        <f t="shared" si="22"/>
        <v>-0.24329933483192256</v>
      </c>
      <c r="L35" s="76">
        <f t="shared" si="22"/>
        <v>-1</v>
      </c>
      <c r="M35" s="92"/>
      <c r="N35" s="104"/>
      <c r="O35" s="334"/>
      <c r="P35" s="334"/>
      <c r="Q35" s="334"/>
      <c r="R35" s="105"/>
      <c r="S35" s="101"/>
      <c r="T35" s="101"/>
      <c r="U35" s="106"/>
      <c r="V35" s="107"/>
      <c r="W35" s="75"/>
      <c r="X35" s="108"/>
      <c r="Y35" s="109"/>
    </row>
    <row r="36" spans="1:25" s="98" customFormat="1" ht="12.75" customHeight="1" x14ac:dyDescent="0.25">
      <c r="A36" s="69" t="s">
        <v>46</v>
      </c>
      <c r="B36" s="336">
        <v>0.86455042000000004</v>
      </c>
      <c r="C36" s="336">
        <v>1.1677566599999998</v>
      </c>
      <c r="D36" s="336">
        <v>0.72383306000000003</v>
      </c>
      <c r="E36" s="348">
        <v>0</v>
      </c>
      <c r="F36" s="101">
        <f>B36/$B$33</f>
        <v>0.27287378416174229</v>
      </c>
      <c r="G36" s="101">
        <f>C36/$C$33</f>
        <v>0.29717089879129205</v>
      </c>
      <c r="H36" s="101">
        <f>D36/$D$33</f>
        <v>0.29376888603035806</v>
      </c>
      <c r="I36" s="102" t="e">
        <f>E36/$E$33</f>
        <v>#DIV/0!</v>
      </c>
      <c r="J36" s="75">
        <f t="shared" si="22"/>
        <v>0.35070972494582753</v>
      </c>
      <c r="K36" s="75">
        <f t="shared" si="22"/>
        <v>-0.38015077559052401</v>
      </c>
      <c r="L36" s="76">
        <f t="shared" si="22"/>
        <v>-1</v>
      </c>
      <c r="M36" s="92"/>
      <c r="N36" s="93" t="s">
        <v>122</v>
      </c>
      <c r="O36" s="351">
        <f t="shared" ref="O36" si="23">SUM(O37:O40)</f>
        <v>4169.7465901799997</v>
      </c>
      <c r="P36" s="351">
        <f>SUM(P37:P41)</f>
        <v>4834.7898770300008</v>
      </c>
      <c r="Q36" s="351">
        <f>SUM(Q37:Q41)</f>
        <v>4079.5723767899999</v>
      </c>
      <c r="R36" s="351">
        <f>SUM(R37:R41)</f>
        <v>4079.7816271400006</v>
      </c>
      <c r="S36" s="88">
        <f>O36/$O$66</f>
        <v>0.28143136546354169</v>
      </c>
      <c r="T36" s="88">
        <f>P36/$P$66</f>
        <v>0.3025950921296815</v>
      </c>
      <c r="U36" s="94">
        <f>Q36/$Q$66</f>
        <v>0.27060336378232969</v>
      </c>
      <c r="V36" s="95">
        <f>R36/$R$66</f>
        <v>0.26283533977324475</v>
      </c>
      <c r="W36" s="90">
        <f t="shared" ref="W36:Y40" si="24">P36/O36-1</f>
        <v>0.15949249491952755</v>
      </c>
      <c r="X36" s="96">
        <f t="shared" si="24"/>
        <v>-0.15620482367352206</v>
      </c>
      <c r="Y36" s="97">
        <f t="shared" si="24"/>
        <v>5.1292226408650166E-5</v>
      </c>
    </row>
    <row r="37" spans="1:25" ht="12.75" customHeight="1" x14ac:dyDescent="0.25">
      <c r="A37" s="69" t="s">
        <v>48</v>
      </c>
      <c r="B37" s="336">
        <v>0.66310172000000001</v>
      </c>
      <c r="C37" s="336">
        <v>0.78545597</v>
      </c>
      <c r="D37" s="336">
        <v>0.43509486999999997</v>
      </c>
      <c r="E37" s="348">
        <v>0</v>
      </c>
      <c r="F37" s="101">
        <f>B37/$B$33</f>
        <v>0.20929152474480325</v>
      </c>
      <c r="G37" s="101">
        <f>C37/$C$33</f>
        <v>0.19988295897698941</v>
      </c>
      <c r="H37" s="101">
        <f>D37/$D$33</f>
        <v>0.17658399752758383</v>
      </c>
      <c r="I37" s="102" t="e">
        <f>E37/$E$33</f>
        <v>#DIV/0!</v>
      </c>
      <c r="J37" s="75">
        <f t="shared" si="22"/>
        <v>0.18451807062120129</v>
      </c>
      <c r="K37" s="75">
        <f t="shared" si="22"/>
        <v>-0.44606077664671651</v>
      </c>
      <c r="L37" s="76">
        <f t="shared" si="22"/>
        <v>-1</v>
      </c>
      <c r="M37" s="92"/>
      <c r="N37" s="104" t="s">
        <v>56</v>
      </c>
      <c r="O37" s="334">
        <v>684.91122475999998</v>
      </c>
      <c r="P37" s="334">
        <v>754.65208086999996</v>
      </c>
      <c r="Q37" s="334">
        <v>10.738475960000001</v>
      </c>
      <c r="R37" s="348">
        <v>18.713454219999999</v>
      </c>
      <c r="S37" s="101">
        <f>O37/$O$36</f>
        <v>0.16425727797775685</v>
      </c>
      <c r="T37" s="101">
        <f>P37/$P$36</f>
        <v>0.15608787559834572</v>
      </c>
      <c r="U37" s="106">
        <f>Q37/$Q$36</f>
        <v>2.6322552876116736E-3</v>
      </c>
      <c r="V37" s="107">
        <f>R37/$R$36</f>
        <v>4.58687643856038E-3</v>
      </c>
      <c r="W37" s="75">
        <f t="shared" si="24"/>
        <v>0.10182466513735111</v>
      </c>
      <c r="X37" s="108">
        <f t="shared" si="24"/>
        <v>-0.98577029570021169</v>
      </c>
      <c r="Y37" s="109">
        <f t="shared" si="24"/>
        <v>0.74265457125444811</v>
      </c>
    </row>
    <row r="38" spans="1:25" ht="12.75" customHeight="1" x14ac:dyDescent="0.25">
      <c r="A38" s="99"/>
      <c r="B38" s="338"/>
      <c r="C38" s="338"/>
      <c r="D38" s="338"/>
      <c r="E38" s="87"/>
      <c r="F38" s="119"/>
      <c r="G38" s="119"/>
      <c r="H38" s="119"/>
      <c r="I38" s="120"/>
      <c r="J38" s="121"/>
      <c r="K38" s="121"/>
      <c r="L38" s="122"/>
      <c r="M38" s="92"/>
      <c r="N38" s="104" t="s">
        <v>43</v>
      </c>
      <c r="O38" s="334">
        <v>1.04028E-3</v>
      </c>
      <c r="P38" s="334">
        <v>4.1029E-4</v>
      </c>
      <c r="Q38" s="334">
        <v>2.0168000000000001E-4</v>
      </c>
      <c r="R38" s="348">
        <v>5.5553000000000004E-4</v>
      </c>
      <c r="S38" s="101">
        <f>O38/$O$36</f>
        <v>2.4948278690362648E-7</v>
      </c>
      <c r="T38" s="101">
        <f>P38/$P$36</f>
        <v>8.4862012711096375E-8</v>
      </c>
      <c r="U38" s="106">
        <f>Q38/$Q$36</f>
        <v>4.9436553974976011E-8</v>
      </c>
      <c r="V38" s="107">
        <f>R38/$R$36</f>
        <v>1.3616660173780833E-7</v>
      </c>
      <c r="W38" s="75">
        <f t="shared" si="24"/>
        <v>-0.60559657015418922</v>
      </c>
      <c r="X38" s="108">
        <f t="shared" si="24"/>
        <v>-0.50844524604548003</v>
      </c>
      <c r="Y38" s="109">
        <f t="shared" si="24"/>
        <v>1.7545120983736613</v>
      </c>
    </row>
    <row r="39" spans="1:25" s="98" customFormat="1" ht="12.75" customHeight="1" x14ac:dyDescent="0.25">
      <c r="A39" s="86" t="s">
        <v>59</v>
      </c>
      <c r="B39" s="351">
        <f t="shared" ref="B39" si="25">SUM(B40:B43)</f>
        <v>725.18212462999998</v>
      </c>
      <c r="C39" s="351">
        <f>SUM(C40:C44)</f>
        <v>797.07577233999996</v>
      </c>
      <c r="D39" s="351">
        <f>SUM(D40:D44)</f>
        <v>793.46595298000011</v>
      </c>
      <c r="E39" s="351">
        <f>SUM(E40:E44)</f>
        <v>754.49803847999999</v>
      </c>
      <c r="F39" s="88">
        <f>B39/$B$51</f>
        <v>4.905173541244167E-2</v>
      </c>
      <c r="G39" s="88">
        <f>C39/$C$51</f>
        <v>5.0047726500134872E-2</v>
      </c>
      <c r="H39" s="88">
        <f>D39/$D$51</f>
        <v>5.2740112783913023E-2</v>
      </c>
      <c r="I39" s="89">
        <f>E39/$E$51</f>
        <v>4.8795056271481181E-2</v>
      </c>
      <c r="J39" s="90">
        <f t="shared" ref="J39:L43" si="26">C39/B39-1</f>
        <v>9.9138747727243404E-2</v>
      </c>
      <c r="K39" s="90">
        <f t="shared" si="26"/>
        <v>-4.5288283564338672E-3</v>
      </c>
      <c r="L39" s="91">
        <f t="shared" si="26"/>
        <v>-4.9111010187203763E-2</v>
      </c>
      <c r="M39" s="113"/>
      <c r="N39" s="104" t="s">
        <v>45</v>
      </c>
      <c r="O39" s="334">
        <v>128.81446459</v>
      </c>
      <c r="P39" s="334">
        <v>131.40076834999999</v>
      </c>
      <c r="Q39" s="334">
        <v>113.00534046999999</v>
      </c>
      <c r="R39" s="348">
        <v>135.02850615</v>
      </c>
      <c r="S39" s="101">
        <f>O39/$O$36</f>
        <v>3.0892636231987264E-2</v>
      </c>
      <c r="T39" s="101">
        <f>P39/$P$36</f>
        <v>2.7178175617162324E-2</v>
      </c>
      <c r="U39" s="106">
        <f>Q39/$Q$36</f>
        <v>2.7700290626763664E-2</v>
      </c>
      <c r="V39" s="107">
        <f>R39/$R$36</f>
        <v>3.3096993538023596E-2</v>
      </c>
      <c r="W39" s="75">
        <f t="shared" si="24"/>
        <v>2.007774335150847E-2</v>
      </c>
      <c r="X39" s="108">
        <f t="shared" si="24"/>
        <v>-0.1399948273590137</v>
      </c>
      <c r="Y39" s="109">
        <f t="shared" si="24"/>
        <v>0.19488606103396133</v>
      </c>
    </row>
    <row r="40" spans="1:25" ht="12.75" customHeight="1" x14ac:dyDescent="0.25">
      <c r="A40" s="69" t="s">
        <v>42</v>
      </c>
      <c r="B40" s="336">
        <v>364.22545187000003</v>
      </c>
      <c r="C40" s="336">
        <v>406.35925606999996</v>
      </c>
      <c r="D40" s="336">
        <v>406.80084109000006</v>
      </c>
      <c r="E40" s="348">
        <v>409.12918354000004</v>
      </c>
      <c r="F40" s="101">
        <f>B40/$B$39</f>
        <v>0.50225376426071444</v>
      </c>
      <c r="G40" s="101">
        <f>C40/$C$39</f>
        <v>0.50981258014785535</v>
      </c>
      <c r="H40" s="101">
        <f>D40/$D$39</f>
        <v>0.51268846452981176</v>
      </c>
      <c r="I40" s="102">
        <f>E40/$E$39</f>
        <v>0.54225347538904844</v>
      </c>
      <c r="J40" s="75">
        <f t="shared" si="26"/>
        <v>0.1156805598940911</v>
      </c>
      <c r="K40" s="75">
        <f t="shared" si="26"/>
        <v>1.086686259520242E-3</v>
      </c>
      <c r="L40" s="76">
        <f t="shared" si="26"/>
        <v>5.7235438446030518E-3</v>
      </c>
      <c r="M40" s="123"/>
      <c r="N40" s="104" t="s">
        <v>47</v>
      </c>
      <c r="O40" s="334">
        <v>3356.01986055</v>
      </c>
      <c r="P40" s="334">
        <v>3304.3756226000005</v>
      </c>
      <c r="Q40" s="334">
        <v>3311.4499276500001</v>
      </c>
      <c r="R40" s="348">
        <v>3270.3470862200006</v>
      </c>
      <c r="S40" s="101">
        <f>O40/$O$36</f>
        <v>0.80484983630746909</v>
      </c>
      <c r="T40" s="101">
        <f>P40/$P$36</f>
        <v>0.68345795921742725</v>
      </c>
      <c r="U40" s="106">
        <f>Q40/$Q$36</f>
        <v>0.81171495975654318</v>
      </c>
      <c r="V40" s="107">
        <f>R40/$R$36</f>
        <v>0.80159856215455627</v>
      </c>
      <c r="W40" s="75">
        <f t="shared" si="24"/>
        <v>-1.5388537641590649E-2</v>
      </c>
      <c r="X40" s="108">
        <f t="shared" si="24"/>
        <v>2.1408900978494572E-3</v>
      </c>
      <c r="Y40" s="109">
        <f t="shared" si="24"/>
        <v>-1.2412339708596565E-2</v>
      </c>
    </row>
    <row r="41" spans="1:25" s="124" customFormat="1" ht="12.75" customHeight="1" x14ac:dyDescent="0.25">
      <c r="A41" s="69" t="s">
        <v>44</v>
      </c>
      <c r="B41" s="336">
        <v>91.39504912000001</v>
      </c>
      <c r="C41" s="336">
        <v>88.542911910000001</v>
      </c>
      <c r="D41" s="336">
        <v>89.995679300000006</v>
      </c>
      <c r="E41" s="348">
        <v>84.290724920000002</v>
      </c>
      <c r="F41" s="101">
        <f>B41/$B$39</f>
        <v>0.1260304770565481</v>
      </c>
      <c r="G41" s="101">
        <f>C41/$C$39</f>
        <v>0.11108468602685267</v>
      </c>
      <c r="H41" s="101">
        <f>D41/$D$39</f>
        <v>0.11342097157667005</v>
      </c>
      <c r="I41" s="102">
        <f>E41/$E$39</f>
        <v>0.1117176196903186</v>
      </c>
      <c r="J41" s="75">
        <f t="shared" si="26"/>
        <v>-3.1206692676046477E-2</v>
      </c>
      <c r="K41" s="75">
        <f t="shared" si="26"/>
        <v>1.6407495062695565E-2</v>
      </c>
      <c r="L41" s="76">
        <f t="shared" si="26"/>
        <v>-6.3391425281457914E-2</v>
      </c>
      <c r="M41" s="55"/>
      <c r="N41" s="375" t="s">
        <v>141</v>
      </c>
      <c r="O41" s="334"/>
      <c r="P41" s="334">
        <v>644.36099491999994</v>
      </c>
      <c r="Q41" s="334">
        <v>644.37843103</v>
      </c>
      <c r="R41" s="105">
        <v>655.69202502000007</v>
      </c>
      <c r="S41" s="101"/>
      <c r="T41" s="101"/>
      <c r="U41" s="106"/>
      <c r="V41" s="107"/>
      <c r="W41" s="75"/>
      <c r="X41" s="108"/>
      <c r="Y41" s="109"/>
    </row>
    <row r="42" spans="1:25" s="124" customFormat="1" ht="12.75" customHeight="1" x14ac:dyDescent="0.25">
      <c r="A42" s="69" t="s">
        <v>46</v>
      </c>
      <c r="B42" s="336">
        <v>78.128998980000006</v>
      </c>
      <c r="C42" s="336">
        <v>82.129702340000009</v>
      </c>
      <c r="D42" s="336">
        <v>69.956644780000005</v>
      </c>
      <c r="E42" s="348">
        <v>60.295213629999992</v>
      </c>
      <c r="F42" s="101">
        <f>B42/$B$39</f>
        <v>0.10773707228354908</v>
      </c>
      <c r="G42" s="101">
        <f>C42/$C$39</f>
        <v>0.10303876392941828</v>
      </c>
      <c r="H42" s="101">
        <f>D42/$D$39</f>
        <v>8.8165906195805374E-2</v>
      </c>
      <c r="I42" s="102">
        <f>E42/$E$39</f>
        <v>7.9914341131316652E-2</v>
      </c>
      <c r="J42" s="75">
        <f t="shared" si="26"/>
        <v>5.1206381909796761E-2</v>
      </c>
      <c r="K42" s="75">
        <f t="shared" si="26"/>
        <v>-0.14821748056027351</v>
      </c>
      <c r="L42" s="76">
        <f t="shared" si="26"/>
        <v>-0.13810598236069394</v>
      </c>
      <c r="M42" s="113"/>
      <c r="N42" s="93" t="s">
        <v>58</v>
      </c>
      <c r="O42" s="351">
        <f t="shared" ref="O42" si="27">SUM(O43:O46)</f>
        <v>3.4872455599999999</v>
      </c>
      <c r="P42" s="351">
        <f>SUM(P43:P46)</f>
        <v>1.3366768</v>
      </c>
      <c r="Q42" s="351">
        <f>SUM(Q43:Q46)</f>
        <v>2.0548886199999998</v>
      </c>
      <c r="R42" s="351">
        <f>SUM(R43:R46)</f>
        <v>4.8154181899999999</v>
      </c>
      <c r="S42" s="88">
        <f>O42/$O$66</f>
        <v>2.3536688823459344E-4</v>
      </c>
      <c r="T42" s="88">
        <f>P42/$P$66</f>
        <v>8.3658618002252025E-5</v>
      </c>
      <c r="U42" s="94">
        <f>Q42/$Q$66</f>
        <v>1.363034459037012E-4</v>
      </c>
      <c r="V42" s="95">
        <f>R42/$R$66</f>
        <v>3.1022789741963833E-4</v>
      </c>
      <c r="W42" s="90">
        <f t="shared" ref="W42:Y46" si="28">P42/O42-1</f>
        <v>-0.61669553319325177</v>
      </c>
      <c r="X42" s="96">
        <f t="shared" si="28"/>
        <v>0.5373115026758899</v>
      </c>
      <c r="Y42" s="97">
        <f t="shared" si="28"/>
        <v>1.343396203147984</v>
      </c>
    </row>
    <row r="43" spans="1:25" ht="12.75" customHeight="1" x14ac:dyDescent="0.25">
      <c r="A43" s="69" t="s">
        <v>48</v>
      </c>
      <c r="B43" s="336">
        <v>191.43262465999999</v>
      </c>
      <c r="C43" s="336">
        <v>191.33872616000002</v>
      </c>
      <c r="D43" s="336">
        <v>193.21758862000001</v>
      </c>
      <c r="E43" s="348">
        <v>158.87089508</v>
      </c>
      <c r="F43" s="101">
        <f>B43/$B$39</f>
        <v>0.26397868639918848</v>
      </c>
      <c r="G43" s="101">
        <f>C43/$C$39</f>
        <v>0.24005086191276523</v>
      </c>
      <c r="H43" s="101">
        <f>D43/$D$39</f>
        <v>0.24351087516022279</v>
      </c>
      <c r="I43" s="102">
        <f>E43/$E$39</f>
        <v>0.21056502068588387</v>
      </c>
      <c r="J43" s="75">
        <f t="shared" si="26"/>
        <v>-4.9050416650109341E-4</v>
      </c>
      <c r="K43" s="75">
        <f t="shared" si="26"/>
        <v>9.8195618718024402E-3</v>
      </c>
      <c r="L43" s="76">
        <f t="shared" si="26"/>
        <v>-0.17776173372885573</v>
      </c>
      <c r="M43" s="77"/>
      <c r="N43" s="104" t="s">
        <v>56</v>
      </c>
      <c r="O43" s="334">
        <v>1.0219571199999999</v>
      </c>
      <c r="P43" s="334">
        <v>0.54195598999999994</v>
      </c>
      <c r="Q43" s="334">
        <v>0.73099482000000005</v>
      </c>
      <c r="R43" s="348">
        <v>1.99960951</v>
      </c>
      <c r="S43" s="101">
        <f>O43/$O$42</f>
        <v>0.29305568031177021</v>
      </c>
      <c r="T43" s="101">
        <f>P43/$P$42</f>
        <v>0.40545028536442013</v>
      </c>
      <c r="U43" s="106">
        <f>Q43/$Q$42</f>
        <v>0.35573452151387169</v>
      </c>
      <c r="V43" s="107">
        <f>R43/$R$42</f>
        <v>0.41525147580173094</v>
      </c>
      <c r="W43" s="75">
        <f t="shared" si="28"/>
        <v>-0.46968813133764364</v>
      </c>
      <c r="X43" s="108">
        <f t="shared" si="28"/>
        <v>0.34880845214018241</v>
      </c>
      <c r="Y43" s="109">
        <f t="shared" si="28"/>
        <v>1.7354633101230457</v>
      </c>
    </row>
    <row r="44" spans="1:25" ht="12.75" customHeight="1" x14ac:dyDescent="0.25">
      <c r="A44" s="374" t="s">
        <v>140</v>
      </c>
      <c r="B44" s="336"/>
      <c r="C44" s="336">
        <v>28.705175860000001</v>
      </c>
      <c r="D44" s="336">
        <v>33.495199190000001</v>
      </c>
      <c r="E44" s="105">
        <v>41.91202131</v>
      </c>
      <c r="F44" s="101"/>
      <c r="G44" s="101"/>
      <c r="H44" s="101"/>
      <c r="I44" s="102"/>
      <c r="J44" s="75"/>
      <c r="K44" s="75"/>
      <c r="L44" s="76"/>
      <c r="M44" s="125"/>
      <c r="N44" s="104" t="s">
        <v>43</v>
      </c>
      <c r="O44" s="334">
        <v>0.58996340999999997</v>
      </c>
      <c r="P44" s="334">
        <v>0.32934265000000001</v>
      </c>
      <c r="Q44" s="334">
        <v>0.44402136999999997</v>
      </c>
      <c r="R44" s="348">
        <v>0.59936404999999993</v>
      </c>
      <c r="S44" s="101">
        <f>O44/$O$42</f>
        <v>0.16917747828460925</v>
      </c>
      <c r="T44" s="101">
        <f>P44/$P$42</f>
        <v>0.24638914208730189</v>
      </c>
      <c r="U44" s="106">
        <f>Q44/$Q$42</f>
        <v>0.21608050464555106</v>
      </c>
      <c r="V44" s="107">
        <f>R44/$R$42</f>
        <v>0.12446770484953457</v>
      </c>
      <c r="W44" s="75">
        <f t="shared" si="28"/>
        <v>-0.44175749814721554</v>
      </c>
      <c r="X44" s="108">
        <f t="shared" si="28"/>
        <v>0.34820488630913715</v>
      </c>
      <c r="Y44" s="109">
        <f t="shared" si="28"/>
        <v>0.3498540622042583</v>
      </c>
    </row>
    <row r="45" spans="1:25" ht="12.75" customHeight="1" x14ac:dyDescent="0.25">
      <c r="A45" s="86" t="s">
        <v>61</v>
      </c>
      <c r="B45" s="351">
        <f t="shared" ref="B45" si="29">SUM(B46:B49)</f>
        <v>673.87784542999998</v>
      </c>
      <c r="C45" s="351">
        <f>SUM(C46:C49)</f>
        <v>674.62064320000002</v>
      </c>
      <c r="D45" s="351">
        <f>SUM(D46:D49)</f>
        <v>681.07337615999995</v>
      </c>
      <c r="E45" s="351">
        <f>SUM(E46:E49)</f>
        <v>689.57197067999994</v>
      </c>
      <c r="F45" s="88">
        <f>B45/$B$51</f>
        <v>4.5581484501157239E-2</v>
      </c>
      <c r="G45" s="88">
        <f>C45/$C$51</f>
        <v>4.2358870528831805E-2</v>
      </c>
      <c r="H45" s="88">
        <f>D45/$D$51</f>
        <v>4.5269600463504964E-2</v>
      </c>
      <c r="I45" s="89">
        <f>E45/$E$51</f>
        <v>4.4596143921530808E-2</v>
      </c>
      <c r="J45" s="90">
        <f t="shared" ref="J45:L49" si="30">C45/B45-1</f>
        <v>1.1022736168542213E-3</v>
      </c>
      <c r="K45" s="90">
        <f t="shared" si="30"/>
        <v>9.5649800003034802E-3</v>
      </c>
      <c r="L45" s="91">
        <f t="shared" si="30"/>
        <v>1.2478236292125189E-2</v>
      </c>
      <c r="M45" s="125"/>
      <c r="N45" s="104" t="s">
        <v>45</v>
      </c>
      <c r="O45" s="334">
        <v>1.4228288600000001</v>
      </c>
      <c r="P45" s="334">
        <v>0.24385602000000001</v>
      </c>
      <c r="Q45" s="334">
        <v>0.61298348000000003</v>
      </c>
      <c r="R45" s="348">
        <v>1.6898039300000001</v>
      </c>
      <c r="S45" s="101">
        <f>O45/$O$42</f>
        <v>0.40800936886130845</v>
      </c>
      <c r="T45" s="101">
        <f>P45/$P$42</f>
        <v>0.1824345421421244</v>
      </c>
      <c r="U45" s="106">
        <f>Q45/$Q$42</f>
        <v>0.29830496603752671</v>
      </c>
      <c r="V45" s="107">
        <f>R45/$R$42</f>
        <v>0.35091530233223628</v>
      </c>
      <c r="W45" s="75">
        <f t="shared" si="28"/>
        <v>-0.82861184021808498</v>
      </c>
      <c r="X45" s="108">
        <f t="shared" si="28"/>
        <v>1.5137106723877474</v>
      </c>
      <c r="Y45" s="109">
        <f t="shared" si="28"/>
        <v>1.7566875537983502</v>
      </c>
    </row>
    <row r="46" spans="1:25" ht="12.75" customHeight="1" x14ac:dyDescent="0.25">
      <c r="A46" s="69" t="s">
        <v>42</v>
      </c>
      <c r="B46" s="336">
        <v>324.43504639000002</v>
      </c>
      <c r="C46" s="336">
        <v>317.35087403</v>
      </c>
      <c r="D46" s="336">
        <v>332.37607204</v>
      </c>
      <c r="E46" s="348">
        <v>341.52975994999997</v>
      </c>
      <c r="F46" s="101">
        <f>B46/$B$45</f>
        <v>0.48144489181563571</v>
      </c>
      <c r="G46" s="101">
        <f>C46/$C$45</f>
        <v>0.47041382031340723</v>
      </c>
      <c r="H46" s="101">
        <f>D46/$D$45</f>
        <v>0.48801800756621727</v>
      </c>
      <c r="I46" s="102">
        <f>E46/$E$45</f>
        <v>0.49527790349890677</v>
      </c>
      <c r="J46" s="75">
        <f t="shared" si="30"/>
        <v>-2.1835410319649085E-2</v>
      </c>
      <c r="K46" s="75">
        <f t="shared" si="30"/>
        <v>4.7345696008953331E-2</v>
      </c>
      <c r="L46" s="76">
        <f t="shared" si="30"/>
        <v>2.7540153097718623E-2</v>
      </c>
      <c r="M46" s="125"/>
      <c r="N46" s="104" t="s">
        <v>47</v>
      </c>
      <c r="O46" s="334">
        <v>0.45249616999999998</v>
      </c>
      <c r="P46" s="334">
        <v>0.22152213999999998</v>
      </c>
      <c r="Q46" s="334">
        <v>0.26688895000000001</v>
      </c>
      <c r="R46" s="348">
        <v>0.52664069999999996</v>
      </c>
      <c r="S46" s="101">
        <f>O46/$O$42</f>
        <v>0.12975747254231215</v>
      </c>
      <c r="T46" s="101">
        <f>P46/$P$42</f>
        <v>0.16572603040615352</v>
      </c>
      <c r="U46" s="106">
        <f>Q46/$Q$42</f>
        <v>0.12988000780305067</v>
      </c>
      <c r="V46" s="107">
        <f>R46/$R$42</f>
        <v>0.1093655170164982</v>
      </c>
      <c r="W46" s="75">
        <f t="shared" si="28"/>
        <v>-0.51044416574840845</v>
      </c>
      <c r="X46" s="108">
        <f t="shared" si="28"/>
        <v>0.20479582763149562</v>
      </c>
      <c r="Y46" s="109">
        <f t="shared" si="28"/>
        <v>0.97325779130233725</v>
      </c>
    </row>
    <row r="47" spans="1:25" ht="12.75" customHeight="1" x14ac:dyDescent="0.25">
      <c r="A47" s="69" t="s">
        <v>44</v>
      </c>
      <c r="B47" s="336">
        <v>52.858863759999998</v>
      </c>
      <c r="C47" s="336">
        <v>51.616929500000005</v>
      </c>
      <c r="D47" s="336">
        <v>50.29831326</v>
      </c>
      <c r="E47" s="348">
        <v>49.339755529999998</v>
      </c>
      <c r="F47" s="101">
        <f>B47/$B$45</f>
        <v>7.8439830183571133E-2</v>
      </c>
      <c r="G47" s="101">
        <f>C47/$C$45</f>
        <v>7.6512525995587569E-2</v>
      </c>
      <c r="H47" s="101">
        <f>D47/$D$45</f>
        <v>7.385153350669775E-2</v>
      </c>
      <c r="I47" s="102">
        <f>E47/$E$45</f>
        <v>7.1551277644514952E-2</v>
      </c>
      <c r="J47" s="75">
        <f t="shared" si="30"/>
        <v>-2.3495288616850796E-2</v>
      </c>
      <c r="K47" s="75">
        <f t="shared" si="30"/>
        <v>-2.5546196815136146E-2</v>
      </c>
      <c r="L47" s="76">
        <f t="shared" si="30"/>
        <v>-1.9057452782662243E-2</v>
      </c>
      <c r="M47" s="125"/>
      <c r="N47" s="104"/>
      <c r="O47" s="334"/>
      <c r="P47" s="334"/>
      <c r="Q47" s="334"/>
      <c r="R47" s="105"/>
      <c r="S47" s="101"/>
      <c r="T47" s="101"/>
      <c r="U47" s="106"/>
      <c r="V47" s="107"/>
      <c r="W47" s="75"/>
      <c r="X47" s="108"/>
      <c r="Y47" s="109"/>
    </row>
    <row r="48" spans="1:25" x14ac:dyDescent="0.25">
      <c r="A48" s="69" t="s">
        <v>46</v>
      </c>
      <c r="B48" s="336">
        <v>167.94094285</v>
      </c>
      <c r="C48" s="336">
        <v>182.66916549999999</v>
      </c>
      <c r="D48" s="336">
        <v>187.32606887</v>
      </c>
      <c r="E48" s="348">
        <v>184.25225839999999</v>
      </c>
      <c r="F48" s="101">
        <f>B48/$B$45</f>
        <v>0.24921570576761914</v>
      </c>
      <c r="G48" s="101">
        <f>C48/$C$45</f>
        <v>0.27077316317141714</v>
      </c>
      <c r="H48" s="101">
        <f>D48/$D$45</f>
        <v>0.27504535550365244</v>
      </c>
      <c r="I48" s="102">
        <f>E48/$E$45</f>
        <v>0.26719801011967664</v>
      </c>
      <c r="J48" s="75">
        <f t="shared" si="30"/>
        <v>8.7698820788179255E-2</v>
      </c>
      <c r="K48" s="75">
        <f t="shared" si="30"/>
        <v>2.5493647804506026E-2</v>
      </c>
      <c r="L48" s="76">
        <f t="shared" si="30"/>
        <v>-1.6408877250998932E-2</v>
      </c>
      <c r="N48" s="93" t="s">
        <v>60</v>
      </c>
      <c r="O48" s="351">
        <f t="shared" ref="O48" si="31">SUM(O49:O52)</f>
        <v>72.303182390000003</v>
      </c>
      <c r="P48" s="351">
        <f>SUM(P49:P52)</f>
        <v>79.763754360000007</v>
      </c>
      <c r="Q48" s="351">
        <f>SUM(Q49:Q52)</f>
        <v>79.215643870000008</v>
      </c>
      <c r="R48" s="351">
        <f>SUM(R49:R52)</f>
        <v>106.96706118000002</v>
      </c>
      <c r="S48" s="88">
        <f>O48/$O$66</f>
        <v>4.8800047934085137E-3</v>
      </c>
      <c r="T48" s="88">
        <f>P48/$P$66</f>
        <v>4.9921757125048517E-3</v>
      </c>
      <c r="U48" s="94">
        <f>Q48/$Q$66</f>
        <v>5.2544771156314085E-3</v>
      </c>
      <c r="V48" s="95">
        <f>R48/$R$66</f>
        <v>6.8912325313596956E-3</v>
      </c>
      <c r="W48" s="90">
        <f t="shared" ref="W48:Y52" si="32">P48/O48-1</f>
        <v>0.10318455873433097</v>
      </c>
      <c r="X48" s="96">
        <f t="shared" si="32"/>
        <v>-6.871673661776212E-3</v>
      </c>
      <c r="Y48" s="97">
        <f t="shared" si="32"/>
        <v>0.35032748525711122</v>
      </c>
    </row>
    <row r="49" spans="1:25" x14ac:dyDescent="0.25">
      <c r="A49" s="69" t="s">
        <v>48</v>
      </c>
      <c r="B49" s="336">
        <v>128.64299242999999</v>
      </c>
      <c r="C49" s="336">
        <v>122.98367417</v>
      </c>
      <c r="D49" s="336">
        <v>111.07292199</v>
      </c>
      <c r="E49" s="348">
        <v>114.4501968</v>
      </c>
      <c r="F49" s="101">
        <f>B49/$B$45</f>
        <v>0.19089957223317408</v>
      </c>
      <c r="G49" s="101">
        <f>C49/$C$45</f>
        <v>0.18230049051958805</v>
      </c>
      <c r="H49" s="101">
        <f>D49/$D$45</f>
        <v>0.16308510342343258</v>
      </c>
      <c r="I49" s="102">
        <f>E49/$E$45</f>
        <v>0.16597280873690168</v>
      </c>
      <c r="J49" s="75">
        <f t="shared" si="30"/>
        <v>-4.3992433268990272E-2</v>
      </c>
      <c r="K49" s="75">
        <f t="shared" si="30"/>
        <v>-9.6848238275397458E-2</v>
      </c>
      <c r="L49" s="76">
        <f t="shared" si="30"/>
        <v>3.0405923869582407E-2</v>
      </c>
      <c r="N49" s="104" t="s">
        <v>56</v>
      </c>
      <c r="O49" s="334">
        <v>36.644785210000002</v>
      </c>
      <c r="P49" s="334">
        <v>54.371520259999997</v>
      </c>
      <c r="Q49" s="334">
        <v>40.108325929999999</v>
      </c>
      <c r="R49" s="348">
        <v>51.738876509999997</v>
      </c>
      <c r="S49" s="101">
        <f>O49/$O$48</f>
        <v>0.50682119373860657</v>
      </c>
      <c r="T49" s="101">
        <f>P49/$P$48</f>
        <v>0.68165698438169642</v>
      </c>
      <c r="U49" s="106">
        <f>Q49/$Q$48</f>
        <v>0.50631824688342331</v>
      </c>
      <c r="V49" s="107">
        <f>R49/$R$48</f>
        <v>0.48368980075965468</v>
      </c>
      <c r="W49" s="75">
        <f t="shared" si="32"/>
        <v>0.48374509356279538</v>
      </c>
      <c r="X49" s="108">
        <f t="shared" si="32"/>
        <v>-0.262328407625805</v>
      </c>
      <c r="Y49" s="109">
        <f t="shared" si="32"/>
        <v>0.28997845984144255</v>
      </c>
    </row>
    <row r="50" spans="1:25" x14ac:dyDescent="0.25">
      <c r="A50" s="69"/>
      <c r="B50" s="336"/>
      <c r="C50" s="336"/>
      <c r="D50" s="336"/>
      <c r="E50" s="376"/>
      <c r="F50" s="101"/>
      <c r="G50" s="101"/>
      <c r="H50" s="101"/>
      <c r="I50" s="102"/>
      <c r="J50" s="75"/>
      <c r="K50" s="75"/>
      <c r="L50" s="76"/>
      <c r="N50" s="104" t="s">
        <v>43</v>
      </c>
      <c r="O50" s="334">
        <v>18.26608388</v>
      </c>
      <c r="P50" s="334">
        <v>13.53076113</v>
      </c>
      <c r="Q50" s="334">
        <v>22.003959649999999</v>
      </c>
      <c r="R50" s="348">
        <v>32.981433340000002</v>
      </c>
      <c r="S50" s="101">
        <f>O50/$O$48</f>
        <v>0.25263181060929785</v>
      </c>
      <c r="T50" s="101">
        <f>P50/$P$48</f>
        <v>0.16963545959648832</v>
      </c>
      <c r="U50" s="106">
        <f>Q50/$Q$48</f>
        <v>0.2777729066509953</v>
      </c>
      <c r="V50" s="107">
        <f>R50/$R$48</f>
        <v>0.30833261170464549</v>
      </c>
      <c r="W50" s="75">
        <f t="shared" si="32"/>
        <v>-0.25924126819459237</v>
      </c>
      <c r="X50" s="108">
        <f t="shared" si="32"/>
        <v>0.62621743437724842</v>
      </c>
      <c r="Y50" s="109">
        <f t="shared" si="32"/>
        <v>0.49888628522366907</v>
      </c>
    </row>
    <row r="51" spans="1:25" x14ac:dyDescent="0.25">
      <c r="A51" s="127" t="s">
        <v>63</v>
      </c>
      <c r="B51" s="350">
        <f>B5+B25+B27+B33+B39+B45</f>
        <v>14784.025856220003</v>
      </c>
      <c r="C51" s="350">
        <f>C5+C25+C27+C33+C39+C45</f>
        <v>15926.313302920002</v>
      </c>
      <c r="D51" s="350">
        <f>D5+D25+D27+D33+D39+D45</f>
        <v>15044.828520390003</v>
      </c>
      <c r="E51" s="350">
        <f>E5+E25+E27+E33+E39+E45</f>
        <v>15462.591830660002</v>
      </c>
      <c r="F51" s="128">
        <f>F45+F39+F33+F27+F25+F5</f>
        <v>0.99999999999999989</v>
      </c>
      <c r="G51" s="128">
        <f>G45+G39+G33+G27+G25+G5</f>
        <v>1</v>
      </c>
      <c r="H51" s="128">
        <f>H45+H39+H33+H27+H25+H5</f>
        <v>0.99999999999999989</v>
      </c>
      <c r="I51" s="129">
        <f>I45+I39+I33+I27+I25+I5</f>
        <v>1.0000000000000002</v>
      </c>
      <c r="J51" s="130">
        <f t="shared" ref="J51:L52" si="33">C51/B51-1</f>
        <v>7.7264978958313302E-2</v>
      </c>
      <c r="K51" s="130">
        <f t="shared" si="33"/>
        <v>-5.5347698225199582E-2</v>
      </c>
      <c r="L51" s="131">
        <f t="shared" si="33"/>
        <v>2.7767901089986502E-2</v>
      </c>
      <c r="N51" s="104" t="s">
        <v>45</v>
      </c>
      <c r="O51" s="334">
        <v>3.3429571999999999</v>
      </c>
      <c r="P51" s="334">
        <v>2.7269249000000002</v>
      </c>
      <c r="Q51" s="334">
        <v>3.8324763399999999</v>
      </c>
      <c r="R51" s="348">
        <v>4.0357631099999995</v>
      </c>
      <c r="S51" s="101">
        <f>O51/$O$48</f>
        <v>4.6235270557916028E-2</v>
      </c>
      <c r="T51" s="101">
        <f>P51/$P$48</f>
        <v>3.4187519405023153E-2</v>
      </c>
      <c r="U51" s="106">
        <f>Q51/$Q$48</f>
        <v>4.8380296526901151E-2</v>
      </c>
      <c r="V51" s="107">
        <f>R51/$R$48</f>
        <v>3.7729026725421333E-2</v>
      </c>
      <c r="W51" s="75">
        <f t="shared" si="32"/>
        <v>-0.18427765093731974</v>
      </c>
      <c r="X51" s="108">
        <f t="shared" si="32"/>
        <v>0.40542056732108733</v>
      </c>
      <c r="Y51" s="109">
        <f t="shared" si="32"/>
        <v>5.3043189824362846E-2</v>
      </c>
    </row>
    <row r="52" spans="1:25" x14ac:dyDescent="0.25">
      <c r="A52" s="132" t="s">
        <v>64</v>
      </c>
      <c r="B52" s="133">
        <f t="shared" ref="B52" si="34">O66-B51</f>
        <v>32.185490059995573</v>
      </c>
      <c r="C52" s="133">
        <f t="shared" ref="C52" si="35">P66-C51</f>
        <v>51.440476900001158</v>
      </c>
      <c r="D52" s="133">
        <f t="shared" ref="D52" si="36">Q66-D51</f>
        <v>31.009118019997914</v>
      </c>
      <c r="E52" s="133">
        <f t="shared" ref="E52" si="37">R66-E51</f>
        <v>59.604045509999196</v>
      </c>
      <c r="F52" s="73"/>
      <c r="G52" s="73"/>
      <c r="H52" s="73"/>
      <c r="I52" s="74"/>
      <c r="J52" s="121">
        <f t="shared" si="33"/>
        <v>0.59825054097710506</v>
      </c>
      <c r="K52" s="121">
        <f t="shared" si="33"/>
        <v>-0.39718447633604237</v>
      </c>
      <c r="L52" s="122">
        <f t="shared" si="33"/>
        <v>0.92214578536417235</v>
      </c>
      <c r="N52" s="104" t="s">
        <v>47</v>
      </c>
      <c r="O52" s="334">
        <v>14.049356100000001</v>
      </c>
      <c r="P52" s="334">
        <v>9.134548070000001</v>
      </c>
      <c r="Q52" s="334">
        <v>13.270881950000001</v>
      </c>
      <c r="R52" s="348">
        <v>18.210988220000001</v>
      </c>
      <c r="S52" s="101">
        <f>O52/$O$48</f>
        <v>0.19431172509417949</v>
      </c>
      <c r="T52" s="101">
        <f>P52/$P$48</f>
        <v>0.11452003661679197</v>
      </c>
      <c r="U52" s="106">
        <f>Q52/$Q$48</f>
        <v>0.16752854993868019</v>
      </c>
      <c r="V52" s="107">
        <f>R52/$R$48</f>
        <v>0.17024856081027839</v>
      </c>
      <c r="W52" s="75">
        <f t="shared" si="32"/>
        <v>-0.34982443287916942</v>
      </c>
      <c r="X52" s="108">
        <f t="shared" si="32"/>
        <v>0.45282304590247779</v>
      </c>
      <c r="Y52" s="109">
        <f t="shared" si="32"/>
        <v>0.37225154203108546</v>
      </c>
    </row>
    <row r="53" spans="1:25" x14ac:dyDescent="0.25">
      <c r="A53" s="134"/>
      <c r="B53" s="135"/>
      <c r="C53" s="135"/>
      <c r="D53" s="136"/>
      <c r="E53" s="135"/>
      <c r="F53" s="125"/>
      <c r="G53" s="125"/>
      <c r="H53" s="125"/>
      <c r="I53" s="137"/>
      <c r="J53" s="138"/>
      <c r="N53" s="104"/>
      <c r="O53" s="334"/>
      <c r="P53" s="334"/>
      <c r="Q53" s="334"/>
      <c r="R53" s="105"/>
      <c r="S53" s="101"/>
      <c r="T53" s="101"/>
      <c r="U53" s="106"/>
      <c r="V53" s="107"/>
      <c r="W53" s="75"/>
      <c r="X53" s="108"/>
      <c r="Y53" s="109"/>
    </row>
    <row r="54" spans="1:25" x14ac:dyDescent="0.25">
      <c r="A54" s="134" t="s">
        <v>104</v>
      </c>
      <c r="B54" s="216">
        <f>D3</f>
        <v>2021</v>
      </c>
      <c r="C54" s="216">
        <f>E3</f>
        <v>2022</v>
      </c>
      <c r="D54" s="136">
        <f>D27+D33</f>
        <v>4.3040819599999995</v>
      </c>
      <c r="E54" s="141">
        <f>E33+E27</f>
        <v>3.1788032599999996</v>
      </c>
      <c r="F54" s="277">
        <f>E54/D54-1</f>
        <v>-0.26144453345865193</v>
      </c>
      <c r="G54" s="125"/>
      <c r="H54" s="125"/>
      <c r="I54" s="137"/>
      <c r="J54" s="138"/>
      <c r="N54" s="93" t="s">
        <v>62</v>
      </c>
      <c r="O54" s="351">
        <f t="shared" ref="O54" si="38">SUM(O55:O58)</f>
        <v>11.540831910000001</v>
      </c>
      <c r="P54" s="351">
        <f>SUM(P55:P58)</f>
        <v>7.7674480500000005</v>
      </c>
      <c r="Q54" s="351">
        <f>SUM(Q55:Q58)</f>
        <v>5.1893600699999993</v>
      </c>
      <c r="R54" s="351">
        <f>SUM(R55:R58)</f>
        <v>0</v>
      </c>
      <c r="S54" s="88">
        <f>O54/$O$66</f>
        <v>7.7893272715076601E-4</v>
      </c>
      <c r="T54" s="88">
        <f>P54/$P$66</f>
        <v>4.861414287038478E-4</v>
      </c>
      <c r="U54" s="94">
        <f>Q54/$Q$66</f>
        <v>3.442170308851445E-4</v>
      </c>
      <c r="V54" s="95">
        <f>R54/$R$66</f>
        <v>0</v>
      </c>
      <c r="W54" s="90">
        <f t="shared" ref="W54:Y58" si="39">P54/O54-1</f>
        <v>-0.32695943320432608</v>
      </c>
      <c r="X54" s="96">
        <f t="shared" si="39"/>
        <v>-0.33190926587529623</v>
      </c>
      <c r="Y54" s="97">
        <f t="shared" si="39"/>
        <v>-1</v>
      </c>
    </row>
    <row r="55" spans="1:25" x14ac:dyDescent="0.25">
      <c r="A55" s="134"/>
      <c r="B55" s="217"/>
      <c r="C55" s="217"/>
      <c r="D55" s="136"/>
      <c r="E55" s="141"/>
      <c r="F55" s="125"/>
      <c r="G55" s="125"/>
      <c r="H55" s="125"/>
      <c r="I55" s="137"/>
      <c r="J55" s="138"/>
      <c r="N55" s="104" t="s">
        <v>56</v>
      </c>
      <c r="O55" s="334">
        <v>4.7614268500000012</v>
      </c>
      <c r="P55" s="334">
        <v>3.16553679</v>
      </c>
      <c r="Q55" s="334">
        <v>2.19358553</v>
      </c>
      <c r="R55" s="348">
        <v>0</v>
      </c>
      <c r="S55" s="101">
        <f>O55/$O$54</f>
        <v>0.41257223804414639</v>
      </c>
      <c r="T55" s="101">
        <f>P55/$P$54</f>
        <v>0.407538842824961</v>
      </c>
      <c r="U55" s="106">
        <f>Q55/$Q$54</f>
        <v>0.4227082916603242</v>
      </c>
      <c r="V55" s="107" t="e">
        <f>R55/$R$54</f>
        <v>#DIV/0!</v>
      </c>
      <c r="W55" s="75">
        <f t="shared" si="39"/>
        <v>-0.33517055081923619</v>
      </c>
      <c r="X55" s="108">
        <f t="shared" si="39"/>
        <v>-0.30704153022969605</v>
      </c>
      <c r="Y55" s="109">
        <f t="shared" si="39"/>
        <v>-1</v>
      </c>
    </row>
    <row r="56" spans="1:25" x14ac:dyDescent="0.25">
      <c r="A56" s="134" t="s">
        <v>120</v>
      </c>
      <c r="B56" s="218" t="b">
        <v>1</v>
      </c>
      <c r="C56" s="218" t="b">
        <v>1</v>
      </c>
      <c r="D56" s="136"/>
      <c r="E56" s="141"/>
      <c r="F56" s="125"/>
      <c r="G56" s="125"/>
      <c r="H56" s="125"/>
      <c r="I56" s="137"/>
      <c r="J56" s="138"/>
      <c r="N56" s="104" t="s">
        <v>43</v>
      </c>
      <c r="O56" s="334">
        <v>2.7275056100000001</v>
      </c>
      <c r="P56" s="334">
        <v>1.8930631599999999</v>
      </c>
      <c r="Q56" s="334">
        <v>1.25463082</v>
      </c>
      <c r="R56" s="348">
        <v>0</v>
      </c>
      <c r="S56" s="101">
        <f>O56/$O$54</f>
        <v>0.23633526865915508</v>
      </c>
      <c r="T56" s="101">
        <f>P56/$P$54</f>
        <v>0.24371751800773225</v>
      </c>
      <c r="U56" s="106">
        <f>Q56/$Q$54</f>
        <v>0.24176985275180571</v>
      </c>
      <c r="V56" s="107" t="e">
        <f>R56/$R$54</f>
        <v>#DIV/0!</v>
      </c>
      <c r="W56" s="75">
        <f t="shared" si="39"/>
        <v>-0.30593610768045321</v>
      </c>
      <c r="X56" s="108">
        <f t="shared" si="39"/>
        <v>-0.3372483039604447</v>
      </c>
      <c r="Y56" s="109">
        <f t="shared" si="39"/>
        <v>-1</v>
      </c>
    </row>
    <row r="57" spans="1:25" x14ac:dyDescent="0.25">
      <c r="B57" s="143"/>
      <c r="C57" s="186"/>
      <c r="N57" s="104" t="s">
        <v>45</v>
      </c>
      <c r="O57" s="334">
        <v>1.20310158</v>
      </c>
      <c r="P57" s="334">
        <v>0.98067534999999995</v>
      </c>
      <c r="Q57" s="334">
        <v>0.79027038999999988</v>
      </c>
      <c r="R57" s="348">
        <v>0</v>
      </c>
      <c r="S57" s="101">
        <f>O57/$O$54</f>
        <v>0.10424738782977386</v>
      </c>
      <c r="T57" s="101">
        <f>P57/$P$54</f>
        <v>0.12625451032144333</v>
      </c>
      <c r="U57" s="106">
        <f>Q57/$Q$54</f>
        <v>0.15228667491558356</v>
      </c>
      <c r="V57" s="107" t="e">
        <f>R57/$R$54</f>
        <v>#DIV/0!</v>
      </c>
      <c r="W57" s="75">
        <f t="shared" si="39"/>
        <v>-0.18487734842805215</v>
      </c>
      <c r="X57" s="108">
        <f t="shared" si="39"/>
        <v>-0.19415697559849965</v>
      </c>
      <c r="Y57" s="109">
        <f t="shared" si="39"/>
        <v>-1</v>
      </c>
    </row>
    <row r="58" spans="1:25" x14ac:dyDescent="0.25">
      <c r="A58" s="134" t="s">
        <v>105</v>
      </c>
      <c r="B58" s="216">
        <f>B54</f>
        <v>2021</v>
      </c>
      <c r="C58" s="216">
        <f>C54</f>
        <v>2022</v>
      </c>
      <c r="N58" s="104" t="s">
        <v>47</v>
      </c>
      <c r="O58" s="334">
        <v>2.8487978699999998</v>
      </c>
      <c r="P58" s="334">
        <v>1.7281727500000001</v>
      </c>
      <c r="Q58" s="334">
        <v>0.95087332999999985</v>
      </c>
      <c r="R58" s="348">
        <v>0</v>
      </c>
      <c r="S58" s="101">
        <f>O58/$O$54</f>
        <v>0.24684510546692465</v>
      </c>
      <c r="T58" s="101">
        <f>P58/$P$54</f>
        <v>0.22248912884586336</v>
      </c>
      <c r="U58" s="106">
        <f>Q58/$Q$54</f>
        <v>0.18323518067228661</v>
      </c>
      <c r="V58" s="107" t="e">
        <f>R58/$R$54</f>
        <v>#DIV/0!</v>
      </c>
      <c r="W58" s="75">
        <f t="shared" si="39"/>
        <v>-0.39336771899510015</v>
      </c>
      <c r="X58" s="108">
        <f t="shared" si="39"/>
        <v>-0.44978108814642526</v>
      </c>
      <c r="Y58" s="109">
        <f t="shared" si="39"/>
        <v>-1</v>
      </c>
    </row>
    <row r="59" spans="1:25" x14ac:dyDescent="0.25">
      <c r="A59" s="134"/>
      <c r="B59" s="217"/>
      <c r="C59" s="217"/>
      <c r="N59" s="104"/>
      <c r="O59" s="334"/>
      <c r="P59" s="334"/>
      <c r="Q59" s="334"/>
      <c r="R59" s="105"/>
      <c r="S59" s="101"/>
      <c r="T59" s="101"/>
      <c r="U59" s="106"/>
      <c r="V59" s="107"/>
      <c r="W59" s="75"/>
      <c r="X59" s="108"/>
      <c r="Y59" s="109"/>
    </row>
    <row r="60" spans="1:25" x14ac:dyDescent="0.25">
      <c r="A60" s="134" t="str">
        <f>A56</f>
        <v>Verif fichier CU</v>
      </c>
      <c r="B60" s="218" t="b">
        <v>1</v>
      </c>
      <c r="C60" s="219" t="b">
        <v>1</v>
      </c>
      <c r="N60" s="93" t="s">
        <v>65</v>
      </c>
      <c r="O60" s="351">
        <f t="shared" ref="O60" si="40">SUM(O61:O64)</f>
        <v>754.09658973000001</v>
      </c>
      <c r="P60" s="351">
        <f>SUM(P61:P65)</f>
        <v>805.99309510000001</v>
      </c>
      <c r="Q60" s="351">
        <f>SUM(Q61:Q65)</f>
        <v>859.58736899000007</v>
      </c>
      <c r="R60" s="351">
        <f>SUM(R61:R65)</f>
        <v>981.10044085000004</v>
      </c>
      <c r="S60" s="88">
        <f>O60/$O$66</f>
        <v>5.0896721982798647E-2</v>
      </c>
      <c r="T60" s="88">
        <f>P60/$P$66</f>
        <v>5.0444706196309898E-2</v>
      </c>
      <c r="U60" s="94">
        <f>Q60/$Q$66</f>
        <v>5.7017552829035235E-2</v>
      </c>
      <c r="V60" s="95">
        <f>R60/$R$66</f>
        <v>6.3206291730682637E-2</v>
      </c>
      <c r="W60" s="90">
        <f t="shared" ref="W60:Y64" si="41">P60/O60-1</f>
        <v>6.8819440475896165E-2</v>
      </c>
      <c r="X60" s="96">
        <f t="shared" si="41"/>
        <v>6.6494705991681613E-2</v>
      </c>
      <c r="Y60" s="97">
        <f t="shared" si="41"/>
        <v>0.14136209563290314</v>
      </c>
    </row>
    <row r="61" spans="1:25" x14ac:dyDescent="0.25">
      <c r="B61" s="143"/>
      <c r="N61" s="104" t="s">
        <v>56</v>
      </c>
      <c r="O61" s="334">
        <v>360.43000213000005</v>
      </c>
      <c r="P61" s="334">
        <v>383.15138003999999</v>
      </c>
      <c r="Q61" s="334">
        <v>426.94027213999999</v>
      </c>
      <c r="R61" s="349">
        <v>428.92377140999997</v>
      </c>
      <c r="S61" s="101">
        <f>O61/$O$60</f>
        <v>0.47796264701190327</v>
      </c>
      <c r="T61" s="101">
        <f>P61/$P$60</f>
        <v>0.47537799314826906</v>
      </c>
      <c r="U61" s="106">
        <f>Q61/$Q$60</f>
        <v>0.49668048594251363</v>
      </c>
      <c r="V61" s="107">
        <f>R61/$R$60</f>
        <v>0.43718640166789807</v>
      </c>
      <c r="W61" s="75">
        <f t="shared" si="41"/>
        <v>6.303964091703107E-2</v>
      </c>
      <c r="X61" s="108">
        <f t="shared" si="41"/>
        <v>0.11428613958125</v>
      </c>
      <c r="Y61" s="109">
        <f t="shared" si="41"/>
        <v>4.6458472049448751E-3</v>
      </c>
    </row>
    <row r="62" spans="1:25" x14ac:dyDescent="0.25">
      <c r="N62" s="104" t="s">
        <v>43</v>
      </c>
      <c r="O62" s="334">
        <v>87.285370479999997</v>
      </c>
      <c r="P62" s="334">
        <v>86.403391720000002</v>
      </c>
      <c r="Q62" s="334">
        <v>86.716676100000001</v>
      </c>
      <c r="R62" s="349">
        <v>196.68327118000002</v>
      </c>
      <c r="S62" s="101">
        <f>O62/$O$60</f>
        <v>0.11574826311209288</v>
      </c>
      <c r="T62" s="101">
        <f>P62/$P$60</f>
        <v>0.10720115624474412</v>
      </c>
      <c r="U62" s="106">
        <f>Q62/$Q$60</f>
        <v>0.10088174771796678</v>
      </c>
      <c r="V62" s="107">
        <f>R62/$R$60</f>
        <v>0.20047210559766818</v>
      </c>
      <c r="W62" s="75">
        <f t="shared" si="41"/>
        <v>-1.0104542779045489E-2</v>
      </c>
      <c r="X62" s="108">
        <f t="shared" si="41"/>
        <v>3.6258342845525426E-3</v>
      </c>
      <c r="Y62" s="109">
        <f t="shared" si="41"/>
        <v>1.2681135858250454</v>
      </c>
    </row>
    <row r="63" spans="1:25" x14ac:dyDescent="0.25">
      <c r="N63" s="104" t="s">
        <v>45</v>
      </c>
      <c r="O63" s="334">
        <v>119.78659622999999</v>
      </c>
      <c r="P63" s="334">
        <v>103.39445835999999</v>
      </c>
      <c r="Q63" s="334">
        <v>104.77978200000001</v>
      </c>
      <c r="R63" s="349">
        <v>109.34636859</v>
      </c>
      <c r="S63" s="101">
        <f>O63/$O$60</f>
        <v>0.15884781586519162</v>
      </c>
      <c r="T63" s="101">
        <f>P63/$P$60</f>
        <v>0.12828206468340994</v>
      </c>
      <c r="U63" s="106">
        <f>Q63/$Q$60</f>
        <v>0.12189544167350248</v>
      </c>
      <c r="V63" s="107">
        <f>R63/$R$60</f>
        <v>0.11145277694021331</v>
      </c>
      <c r="W63" s="75">
        <f t="shared" si="41"/>
        <v>-0.13684450836657691</v>
      </c>
      <c r="X63" s="108">
        <f t="shared" si="41"/>
        <v>1.3398432198141519E-2</v>
      </c>
      <c r="Y63" s="109">
        <f t="shared" si="41"/>
        <v>4.3582707492176187E-2</v>
      </c>
    </row>
    <row r="64" spans="1:25" x14ac:dyDescent="0.25">
      <c r="N64" s="104" t="s">
        <v>47</v>
      </c>
      <c r="O64" s="334">
        <v>186.59462088999999</v>
      </c>
      <c r="P64" s="334">
        <v>204.71730737999999</v>
      </c>
      <c r="Q64" s="334">
        <v>205.65189163000002</v>
      </c>
      <c r="R64" s="349">
        <v>204.07861366000003</v>
      </c>
      <c r="S64" s="101">
        <f>O64/$O$60</f>
        <v>0.24744127401081223</v>
      </c>
      <c r="T64" s="101">
        <f>P64/$P$60</f>
        <v>0.2539938724346027</v>
      </c>
      <c r="U64" s="106">
        <f>Q64/$Q$60</f>
        <v>0.2392448970854904</v>
      </c>
      <c r="V64" s="107">
        <f>R64/$R$60</f>
        <v>0.20800990924353432</v>
      </c>
      <c r="W64" s="75">
        <f t="shared" si="41"/>
        <v>9.7123306146555954E-2</v>
      </c>
      <c r="X64" s="108">
        <f t="shared" si="41"/>
        <v>4.565242978041173E-3</v>
      </c>
      <c r="Y64" s="109">
        <f t="shared" si="41"/>
        <v>-7.6501993613098396E-3</v>
      </c>
    </row>
    <row r="65" spans="14:25" x14ac:dyDescent="0.25">
      <c r="N65" s="375" t="s">
        <v>141</v>
      </c>
      <c r="O65" s="339"/>
      <c r="P65" s="332">
        <v>28.326557599999997</v>
      </c>
      <c r="Q65" s="332">
        <v>35.498747119999997</v>
      </c>
      <c r="R65" s="333">
        <v>42.06841601</v>
      </c>
      <c r="S65" s="119"/>
      <c r="T65" s="119"/>
      <c r="U65" s="148"/>
      <c r="V65" s="149"/>
      <c r="W65" s="121"/>
      <c r="X65" s="150"/>
      <c r="Y65" s="151"/>
    </row>
    <row r="66" spans="14:25" x14ac:dyDescent="0.25">
      <c r="N66" s="152" t="s">
        <v>66</v>
      </c>
      <c r="O66" s="350">
        <f>O5+O12+O18+O24+O36+O42+O48+O54+O60+O30</f>
        <v>14816.211346279999</v>
      </c>
      <c r="P66" s="350">
        <f>P5+P12+P18+P24+P36+P42+P48+P54+P60+P30</f>
        <v>15977.753779820003</v>
      </c>
      <c r="Q66" s="350">
        <f>Q5+Q12+Q18+Q24+Q36+Q42+Q48+Q54+Q60+Q30</f>
        <v>15075.837638410001</v>
      </c>
      <c r="R66" s="350">
        <f>R5+R12+R18+R24+R36+R42+R48+R54+R60+R30</f>
        <v>15522.195876170001</v>
      </c>
      <c r="S66" s="128">
        <f>S60+S54+S48+S42+S36+S24+S18+S12+S5</f>
        <v>0.84962604246264406</v>
      </c>
      <c r="T66" s="128">
        <f>T60+T54+T48+T42+T36+T24+T18+T12+T5</f>
        <v>0.8206275529993623</v>
      </c>
      <c r="U66" s="153">
        <f>U60+U54+U48+U42+U36+U24+U18+U12+U5</f>
        <v>0.81368325949971931</v>
      </c>
      <c r="V66" s="153">
        <f>V60+V54+V48+V42+V36+V24+V18+V12+V5</f>
        <v>0.82031719433834482</v>
      </c>
      <c r="W66" s="130">
        <f>P66/O66-1</f>
        <v>7.8396724128239503E-2</v>
      </c>
      <c r="X66" s="154">
        <f>Q66/P66-1</f>
        <v>-5.6448243841955237E-2</v>
      </c>
      <c r="Y66" s="154">
        <f>R66/Q66-1</f>
        <v>2.9607524866331447E-2</v>
      </c>
    </row>
    <row r="67" spans="14:25" x14ac:dyDescent="0.25">
      <c r="N67" s="155"/>
      <c r="O67" s="156"/>
      <c r="P67" s="156"/>
      <c r="Q67" s="157"/>
      <c r="R67" s="158"/>
      <c r="S67" s="159"/>
      <c r="T67" s="159"/>
      <c r="U67" s="159"/>
      <c r="V67" s="160"/>
      <c r="W67" s="155"/>
      <c r="X67" s="161"/>
      <c r="Y67" s="162"/>
    </row>
    <row r="68" spans="14:25" x14ac:dyDescent="0.25">
      <c r="N68" s="163"/>
      <c r="O68" s="156"/>
      <c r="P68" s="156"/>
      <c r="Q68" s="157"/>
      <c r="R68" s="158"/>
      <c r="S68" s="159"/>
      <c r="T68" s="159"/>
      <c r="U68" s="159"/>
      <c r="V68" s="160"/>
      <c r="W68" s="163"/>
      <c r="X68" s="161"/>
      <c r="Y68" s="162"/>
    </row>
    <row r="69" spans="14:25" x14ac:dyDescent="0.25">
      <c r="N69" s="164"/>
      <c r="O69" s="165"/>
      <c r="P69" s="165"/>
      <c r="Q69" s="165"/>
      <c r="R69" s="166"/>
      <c r="W69" s="165"/>
    </row>
    <row r="70" spans="14:25" x14ac:dyDescent="0.25">
      <c r="N70" s="163"/>
      <c r="O70" s="165"/>
      <c r="P70" s="165"/>
      <c r="Q70" s="165"/>
      <c r="R70" s="166"/>
      <c r="W70" s="165"/>
    </row>
    <row r="71" spans="14:25" x14ac:dyDescent="0.25">
      <c r="N71" s="454" t="s">
        <v>152</v>
      </c>
      <c r="O71" s="455">
        <f>[1]Vieillesse!$F$201</f>
        <v>2581</v>
      </c>
      <c r="P71" s="455">
        <f>[1]Vieillesse!$G$201</f>
        <v>2534</v>
      </c>
      <c r="Q71" s="455">
        <f>[1]Vieillesse!$H$201</f>
        <v>2556.185583</v>
      </c>
      <c r="R71" s="455">
        <f>[1]Vieillesse!$I$201</f>
        <v>2497</v>
      </c>
      <c r="S71" s="455"/>
      <c r="T71" s="167">
        <f>R71/R66</f>
        <v>0.16086641477276076</v>
      </c>
      <c r="W71" s="165"/>
    </row>
    <row r="72" spans="14:25" x14ac:dyDescent="0.25">
      <c r="N72" s="163"/>
      <c r="O72" s="170"/>
      <c r="P72" s="171"/>
      <c r="Q72" s="165"/>
      <c r="R72" s="166"/>
      <c r="W72" s="165"/>
    </row>
    <row r="73" spans="14:25" x14ac:dyDescent="0.25">
      <c r="N73" s="172"/>
      <c r="O73" s="31"/>
      <c r="P73" s="171"/>
      <c r="Q73" s="165"/>
      <c r="R73" s="166"/>
      <c r="W73" s="165"/>
    </row>
    <row r="74" spans="14:25" x14ac:dyDescent="0.25">
      <c r="N74" s="172"/>
      <c r="O74" s="31"/>
      <c r="P74" s="171"/>
    </row>
    <row r="75" spans="14:25" x14ac:dyDescent="0.25">
      <c r="N75" s="172"/>
      <c r="O75" s="31"/>
      <c r="P75" s="171"/>
    </row>
    <row r="76" spans="14:25" x14ac:dyDescent="0.25">
      <c r="N76" s="172"/>
      <c r="O76" s="31"/>
      <c r="P76" s="171"/>
    </row>
    <row r="77" spans="14:25" x14ac:dyDescent="0.25">
      <c r="N77" s="172"/>
      <c r="O77" s="31"/>
      <c r="P77" s="171"/>
    </row>
    <row r="78" spans="14:25" x14ac:dyDescent="0.25">
      <c r="N78" s="172"/>
      <c r="O78" s="31"/>
      <c r="P78" s="171"/>
    </row>
    <row r="79" spans="14:25" x14ac:dyDescent="0.25">
      <c r="N79" s="172"/>
    </row>
    <row r="80" spans="14:25" x14ac:dyDescent="0.25">
      <c r="N80" s="172"/>
    </row>
    <row r="81" spans="14:14" x14ac:dyDescent="0.25">
      <c r="N81" s="172"/>
    </row>
    <row r="100" spans="14:15" x14ac:dyDescent="0.25">
      <c r="N100" s="163"/>
      <c r="O100" s="170"/>
    </row>
    <row r="101" spans="14:15" x14ac:dyDescent="0.25">
      <c r="N101" s="163"/>
      <c r="O101" s="170"/>
    </row>
    <row r="102" spans="14:15" x14ac:dyDescent="0.25">
      <c r="N102" s="172"/>
      <c r="O102" s="31"/>
    </row>
    <row r="103" spans="14:15" x14ac:dyDescent="0.25">
      <c r="N103" s="172"/>
      <c r="O103" s="31"/>
    </row>
    <row r="104" spans="14:15" x14ac:dyDescent="0.25">
      <c r="N104" s="172"/>
      <c r="O104" s="31"/>
    </row>
    <row r="105" spans="14:15" x14ac:dyDescent="0.25">
      <c r="N105" s="172"/>
      <c r="O105" s="31"/>
    </row>
    <row r="106" spans="14:15" x14ac:dyDescent="0.25">
      <c r="N106" s="172"/>
      <c r="O106" s="31"/>
    </row>
  </sheetData>
  <protectedRanges>
    <protectedRange sqref="P67:R67" name="Plage1"/>
    <protectedRange sqref="E26 E7:E12 E20:E24 E28:E31 E34:E37 E40:E44 E46:E50 E14:E18" name="Plage1_5"/>
    <protectedRange sqref="B45:E45 B39:E39 B33:E33 B27:E27 B19:E19" name="Plage1_1_3"/>
    <protectedRange sqref="B28:D31 B46:D50 B40:D44 B7:D12 B14:D18 B20:D24 B26:D26 B34:D37" name="Plage1_3_2"/>
    <protectedRange sqref="R19:R23 R10:R11 R13:R17 R25:R29 R37:R41 R43:R47 R49:R53 R55:R59 R61:R64 R31:R35" name="Plage1_7"/>
    <protectedRange sqref="R6:R9" name="Plage1_1"/>
  </protectedRanges>
  <mergeCells count="7">
    <mergeCell ref="A2:A3"/>
    <mergeCell ref="B2:E2"/>
    <mergeCell ref="W2:Y2"/>
    <mergeCell ref="F2:I2"/>
    <mergeCell ref="S2:V2"/>
    <mergeCell ref="J2:L2"/>
    <mergeCell ref="O2:R2"/>
  </mergeCells>
  <phoneticPr fontId="2" type="noConversion"/>
  <printOptions horizontalCentered="1" verticalCentered="1"/>
  <pageMargins left="0.27" right="0.19685039370078741" top="0.35" bottom="0.25" header="0.51181102362204722" footer="0.51181102362204722"/>
  <pageSetup paperSize="9" scale="75" orientation="landscape" cellComments="asDisplayed" r:id="rId1"/>
  <headerFooter alignWithMargins="0">
    <oddHeader>&amp;CCOMPTES CONSOLIDES DU REGIME DES SALARIES AGRICOLES (en millions d'euros)
selon le rapport de la commission des comptes de la Sécurité sociale (sept. 2010)
CHIFFRES UTILES - BUDGET 2011</oddHeader>
    <oddFooter>&amp;L&amp;Z&amp;F
&amp;D&amp;R&amp;P/&amp;N</oddFooter>
  </headerFooter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H47"/>
  <sheetViews>
    <sheetView zoomScale="90" zoomScaleNormal="90" workbookViewId="0"/>
  </sheetViews>
  <sheetFormatPr baseColWidth="10" defaultRowHeight="12.5" x14ac:dyDescent="0.25"/>
  <cols>
    <col min="1" max="1" width="42.1796875" customWidth="1"/>
    <col min="2" max="3" width="17.81640625" bestFit="1" customWidth="1"/>
    <col min="4" max="4" width="16" bestFit="1" customWidth="1"/>
    <col min="5" max="5" width="24.54296875" customWidth="1"/>
    <col min="8" max="8" width="11.453125" style="3"/>
  </cols>
  <sheetData>
    <row r="1" spans="1:8" ht="46.5" thickBot="1" x14ac:dyDescent="0.3">
      <c r="A1" s="8" t="s">
        <v>12</v>
      </c>
      <c r="B1" s="9" t="s">
        <v>138</v>
      </c>
      <c r="C1" s="9" t="s">
        <v>153</v>
      </c>
      <c r="D1" s="23" t="s">
        <v>154</v>
      </c>
      <c r="E1" s="23" t="s">
        <v>155</v>
      </c>
      <c r="F1" s="24" t="s">
        <v>10</v>
      </c>
      <c r="G1" s="1"/>
      <c r="H1" s="345"/>
    </row>
    <row r="2" spans="1:8" ht="13.5" thickBot="1" x14ac:dyDescent="0.35">
      <c r="A2" s="291" t="s">
        <v>0</v>
      </c>
      <c r="B2" s="16">
        <f>'COMPTES SA (Chiffres utiles)'!D51</f>
        <v>15044.828520390003</v>
      </c>
      <c r="C2" s="362">
        <f>'COMPTES SA (Chiffres utiles)'!E51</f>
        <v>15462.591830660002</v>
      </c>
      <c r="D2" s="182"/>
      <c r="E2" s="285">
        <f>(C2-B2)/B2</f>
        <v>2.7767901089986551E-2</v>
      </c>
      <c r="F2" s="287">
        <f>(B2/B2)*E2*100</f>
        <v>2.7767901089986551</v>
      </c>
      <c r="G2" s="1"/>
      <c r="H2" s="245" t="s">
        <v>20</v>
      </c>
    </row>
    <row r="3" spans="1:8" ht="13" thickBot="1" x14ac:dyDescent="0.3">
      <c r="A3" s="292" t="s">
        <v>1</v>
      </c>
      <c r="B3" s="284">
        <f>SUM(B4:B8)</f>
        <v>12829.667831100001</v>
      </c>
      <c r="C3" s="456">
        <f>SUM(C4:C8)</f>
        <v>13360.89333601</v>
      </c>
      <c r="D3" s="363">
        <f>C3/C2</f>
        <v>0.86407851169668404</v>
      </c>
      <c r="E3" s="286">
        <f>(C3-B3)/B3</f>
        <v>4.1406021722734804E-2</v>
      </c>
      <c r="F3" s="287">
        <f>(B3/B3)*E3*100</f>
        <v>4.1406021722734803</v>
      </c>
      <c r="G3" s="204"/>
    </row>
    <row r="4" spans="1:8" ht="13" thickBot="1" x14ac:dyDescent="0.3">
      <c r="A4" s="293" t="s">
        <v>8</v>
      </c>
      <c r="B4" s="373">
        <f>[1]Vieillesse!$H$11</f>
        <v>6205.3748425200001</v>
      </c>
      <c r="C4" s="435">
        <f>[1]Vieillesse!$I$11</f>
        <v>6489.6159428500005</v>
      </c>
      <c r="D4" s="255">
        <f>C4/$C$3</f>
        <v>0.48571721812637508</v>
      </c>
      <c r="E4" s="286">
        <f>(C4-B4)/B4</f>
        <v>4.5805629400877602E-2</v>
      </c>
      <c r="F4" s="288">
        <f>(B4/B3)*E4*100</f>
        <v>2.2154985154095748</v>
      </c>
      <c r="G4" s="22"/>
    </row>
    <row r="5" spans="1:8" ht="13" thickBot="1" x14ac:dyDescent="0.3">
      <c r="A5" s="294" t="s">
        <v>5</v>
      </c>
      <c r="B5" s="457">
        <f>[1]Maladie!$H$11</f>
        <v>4790.7859864800002</v>
      </c>
      <c r="C5" s="458">
        <f>[1]Maladie!$I$11</f>
        <v>5003.2817609400008</v>
      </c>
      <c r="D5" s="254">
        <f>C5/$C$3</f>
        <v>0.37447209816841071</v>
      </c>
      <c r="E5" s="286">
        <f t="shared" ref="E5:E8" si="0">(C5-B5)/B5</f>
        <v>4.4355096441310769E-2</v>
      </c>
      <c r="F5" s="289">
        <f>(B5/$B$3)*E5*100</f>
        <v>1.6562843033620569</v>
      </c>
      <c r="G5" s="22"/>
    </row>
    <row r="6" spans="1:8" ht="13" thickBot="1" x14ac:dyDescent="0.3">
      <c r="A6" s="295" t="s">
        <v>7</v>
      </c>
      <c r="B6" s="459">
        <f>[1]Famille!$H$11</f>
        <v>625.85377401999995</v>
      </c>
      <c r="C6" s="460">
        <f>[1]Famille!$I$11</f>
        <v>634.23644413</v>
      </c>
      <c r="D6" s="201">
        <f>C6/$C$3</f>
        <v>4.7469613608890897E-2</v>
      </c>
      <c r="E6" s="286">
        <f t="shared" si="0"/>
        <v>1.3393975490722488E-2</v>
      </c>
      <c r="F6" s="290">
        <f>(B6/$B$3)*E6*100</f>
        <v>6.5338169470606861E-2</v>
      </c>
      <c r="G6" s="22"/>
    </row>
    <row r="7" spans="1:8" ht="13" thickBot="1" x14ac:dyDescent="0.3">
      <c r="A7" s="295" t="s">
        <v>6</v>
      </c>
      <c r="B7" s="459">
        <f>[1]AT!$H$11</f>
        <v>561.32168511999998</v>
      </c>
      <c r="C7" s="460">
        <f>[1]AT!$I$11</f>
        <v>577.90458353999998</v>
      </c>
      <c r="D7" s="201">
        <f>C7/$C$3</f>
        <v>4.3253438898613439E-2</v>
      </c>
      <c r="E7" s="286">
        <f t="shared" si="0"/>
        <v>2.9542593595782572E-2</v>
      </c>
      <c r="F7" s="290">
        <f>(B7/$B$3)*E7*100</f>
        <v>0.12925430836020477</v>
      </c>
      <c r="G7" s="372"/>
    </row>
    <row r="8" spans="1:8" x14ac:dyDescent="0.25">
      <c r="A8" s="295" t="s">
        <v>143</v>
      </c>
      <c r="B8" s="461">
        <f>[1]SASPA!$H$10</f>
        <v>646.33154295999998</v>
      </c>
      <c r="C8" s="462">
        <f>[1]SASPA!$I$10</f>
        <v>655.85460454999998</v>
      </c>
      <c r="D8" s="201">
        <f>C8/$C$3</f>
        <v>4.9087631197709987E-2</v>
      </c>
      <c r="E8" s="286">
        <f t="shared" si="0"/>
        <v>1.4734019550380135E-2</v>
      </c>
      <c r="F8" s="290">
        <f>(B8/$B$3)*E8*100</f>
        <v>7.4226875671055473E-2</v>
      </c>
      <c r="G8" s="372"/>
    </row>
    <row r="9" spans="1:8" ht="13" thickBot="1" x14ac:dyDescent="0.3">
      <c r="A9" s="7" t="s">
        <v>2</v>
      </c>
      <c r="B9" s="17">
        <f>'COMPTES SA (Chiffres utiles)'!Q66</f>
        <v>15075.837638410001</v>
      </c>
      <c r="C9" s="17">
        <f>'COMPTES SA (Chiffres utiles)'!R66</f>
        <v>15522.195876170001</v>
      </c>
      <c r="D9" s="256"/>
      <c r="E9" s="192">
        <f t="shared" ref="E9:E10" si="1">(C9-B9)/B9</f>
        <v>2.9607524866331444E-2</v>
      </c>
      <c r="F9" s="207" t="s">
        <v>13</v>
      </c>
      <c r="G9" s="1"/>
    </row>
    <row r="10" spans="1:8" x14ac:dyDescent="0.25">
      <c r="A10" s="12" t="s">
        <v>11</v>
      </c>
      <c r="B10" s="14">
        <f>SUM(B11:B14)</f>
        <v>5760.6775169400007</v>
      </c>
      <c r="C10" s="180">
        <f>SUM(C11:C14)</f>
        <v>5944.3958786200001</v>
      </c>
      <c r="D10" s="202">
        <f>C10/C9</f>
        <v>0.38296101441072272</v>
      </c>
      <c r="E10" s="190">
        <f t="shared" si="1"/>
        <v>3.1891797647021949E-2</v>
      </c>
      <c r="F10" s="205">
        <f>(B10/B10)*E10*100</f>
        <v>3.1891797647021951</v>
      </c>
      <c r="G10" s="204"/>
    </row>
    <row r="11" spans="1:8" x14ac:dyDescent="0.25">
      <c r="A11" s="368" t="s">
        <v>9</v>
      </c>
      <c r="B11" s="15">
        <f>'COMPTES SA (Chiffres utiles)'!Q6</f>
        <v>1590.28099806</v>
      </c>
      <c r="C11" s="361">
        <f>'COMPTES SA (Chiffres utiles)'!R6</f>
        <v>1627.74614486</v>
      </c>
      <c r="D11" s="201">
        <f>C11/$C$10</f>
        <v>0.27382869144271788</v>
      </c>
      <c r="E11" s="369">
        <f t="shared" ref="E11:E16" si="2">(C11-B11)/B11</f>
        <v>2.3558821897327623E-2</v>
      </c>
      <c r="F11" s="370">
        <f>(B11/$B$10)*E11*100</f>
        <v>0.65036007813020169</v>
      </c>
      <c r="G11" s="22"/>
    </row>
    <row r="12" spans="1:8" x14ac:dyDescent="0.25">
      <c r="A12" s="368" t="s">
        <v>6</v>
      </c>
      <c r="B12" s="15">
        <f>'COMPTES SA (Chiffres utiles)'!Q8</f>
        <v>500.05769889999999</v>
      </c>
      <c r="C12" s="361">
        <f>'COMPTES SA (Chiffres utiles)'!R8</f>
        <v>517.04956264000009</v>
      </c>
      <c r="D12" s="201">
        <f>C12/$C$10</f>
        <v>8.698101088786063E-2</v>
      </c>
      <c r="E12" s="369">
        <f t="shared" si="2"/>
        <v>3.3979806285110471E-2</v>
      </c>
      <c r="F12" s="370">
        <f>(B12/$B$10)*E12*100</f>
        <v>0.29496293951594016</v>
      </c>
      <c r="G12" s="22"/>
    </row>
    <row r="13" spans="1:8" x14ac:dyDescent="0.25">
      <c r="A13" s="368" t="s">
        <v>7</v>
      </c>
      <c r="B13" s="15">
        <f>'COMPTES SA (Chiffres utiles)'!Q7</f>
        <v>647.90029649999997</v>
      </c>
      <c r="C13" s="361">
        <f>'COMPTES SA (Chiffres utiles)'!R7</f>
        <v>667.18409943999995</v>
      </c>
      <c r="D13" s="201">
        <f>C13/$C$10</f>
        <v>0.11223749445080493</v>
      </c>
      <c r="E13" s="369">
        <f t="shared" si="2"/>
        <v>2.9763534673733535E-2</v>
      </c>
      <c r="F13" s="370">
        <f>(B13/$B$10)*E13*100</f>
        <v>0.33474887082801502</v>
      </c>
      <c r="G13" s="22"/>
    </row>
    <row r="14" spans="1:8" x14ac:dyDescent="0.25">
      <c r="A14" s="368" t="s">
        <v>8</v>
      </c>
      <c r="B14" s="15">
        <f>'COMPTES SA (Chiffres utiles)'!Q9</f>
        <v>3022.4385234800002</v>
      </c>
      <c r="C14" s="361">
        <f>'COMPTES SA (Chiffres utiles)'!R9</f>
        <v>3132.4160716800002</v>
      </c>
      <c r="D14" s="201">
        <f>C14/$C$10</f>
        <v>0.52695280321861659</v>
      </c>
      <c r="E14" s="369">
        <f t="shared" si="2"/>
        <v>3.6387025689896629E-2</v>
      </c>
      <c r="F14" s="370">
        <f>(B14/$B$10)*E14*100</f>
        <v>1.90910787622805</v>
      </c>
      <c r="G14" s="22"/>
    </row>
    <row r="15" spans="1:8" x14ac:dyDescent="0.25">
      <c r="A15" s="13" t="s">
        <v>3</v>
      </c>
      <c r="B15" s="15">
        <f>'COMPTES SA (Chiffres utiles)'!Q24</f>
        <v>12.11324235</v>
      </c>
      <c r="C15" s="15">
        <f>'COMPTES SA (Chiffres utiles)'!R24</f>
        <v>11.665937100000001</v>
      </c>
      <c r="D15" s="201">
        <f>C15/C9</f>
        <v>7.5156486833862152E-4</v>
      </c>
      <c r="E15" s="191">
        <f t="shared" si="2"/>
        <v>-3.6926962829237825E-2</v>
      </c>
      <c r="F15" s="206"/>
      <c r="G15" s="22"/>
    </row>
    <row r="16" spans="1:8" x14ac:dyDescent="0.25">
      <c r="A16" s="264" t="s">
        <v>126</v>
      </c>
      <c r="B16" s="25">
        <f>B29</f>
        <v>2556.185583</v>
      </c>
      <c r="C16" s="181">
        <f>C29</f>
        <v>2497</v>
      </c>
      <c r="D16" s="201">
        <f>C16/C9</f>
        <v>0.16086641477276076</v>
      </c>
      <c r="E16" s="193">
        <f t="shared" si="2"/>
        <v>-2.315386777611755E-2</v>
      </c>
      <c r="F16" s="208"/>
      <c r="G16" s="343"/>
    </row>
    <row r="17" spans="1:7" ht="13" thickBot="1" x14ac:dyDescent="0.3">
      <c r="A17" s="26" t="s">
        <v>19</v>
      </c>
      <c r="B17" s="27">
        <f>'COMPTES SA (Chiffres utiles)'!Q12</f>
        <v>484.50779326000003</v>
      </c>
      <c r="C17" s="27">
        <f>'COMPTES SA (Chiffres utiles)'!R12</f>
        <v>525.67262819000007</v>
      </c>
      <c r="D17" s="203">
        <f>C17/C9</f>
        <v>3.3865867457388787E-2</v>
      </c>
      <c r="E17" s="193">
        <f>(C17-B17)/B17</f>
        <v>8.4962172957060933E-2</v>
      </c>
      <c r="F17" s="209"/>
      <c r="G17" s="22"/>
    </row>
    <row r="18" spans="1:7" ht="13" thickBot="1" x14ac:dyDescent="0.3">
      <c r="A18" s="4" t="s">
        <v>4</v>
      </c>
      <c r="B18" s="18">
        <f>B9-B2</f>
        <v>31.009118019997914</v>
      </c>
      <c r="C18" s="28">
        <f>C9-C2</f>
        <v>59.604045509999196</v>
      </c>
      <c r="D18" s="183"/>
      <c r="E18" s="194">
        <f>(C18-B18)/B18</f>
        <v>0.92214578536417224</v>
      </c>
      <c r="F18" s="29" t="s">
        <v>13</v>
      </c>
      <c r="G18" s="22"/>
    </row>
    <row r="19" spans="1:7" x14ac:dyDescent="0.25">
      <c r="A19" s="241"/>
      <c r="B19" s="242"/>
      <c r="C19" s="242"/>
      <c r="D19" s="1"/>
      <c r="E19" s="371"/>
      <c r="F19" s="1"/>
    </row>
    <row r="20" spans="1:7" x14ac:dyDescent="0.25">
      <c r="A20" s="240"/>
      <c r="B20" s="239"/>
      <c r="C20" s="239"/>
      <c r="D20" s="1"/>
      <c r="E20" s="344"/>
      <c r="F20" s="1"/>
    </row>
    <row r="21" spans="1:7" x14ac:dyDescent="0.25">
      <c r="A21" s="1"/>
      <c r="B21" s="239"/>
      <c r="C21" s="239"/>
      <c r="D21" s="1"/>
      <c r="F21" s="1"/>
    </row>
    <row r="22" spans="1:7" ht="13" x14ac:dyDescent="0.3">
      <c r="A22" s="1"/>
      <c r="B22" s="1"/>
      <c r="C22" s="1"/>
      <c r="D22" s="245" t="s">
        <v>23</v>
      </c>
      <c r="E22" s="1"/>
      <c r="F22" s="1"/>
    </row>
    <row r="23" spans="1:7" x14ac:dyDescent="0.25">
      <c r="A23" s="1"/>
      <c r="B23" s="1"/>
      <c r="C23" s="1"/>
      <c r="D23" s="1"/>
      <c r="E23" s="1"/>
      <c r="F23" s="1"/>
    </row>
    <row r="24" spans="1:7" x14ac:dyDescent="0.25">
      <c r="A24" s="1"/>
      <c r="B24" s="1"/>
      <c r="C24" s="1"/>
      <c r="D24" s="1"/>
      <c r="E24" s="1"/>
      <c r="F24" s="1"/>
    </row>
    <row r="25" spans="1:7" x14ac:dyDescent="0.25">
      <c r="A25" s="1"/>
      <c r="B25" s="2" t="str">
        <f>B1</f>
        <v>Réalisation 2021</v>
      </c>
      <c r="C25" s="2" t="str">
        <f>C1</f>
        <v>Réalisation 2022</v>
      </c>
      <c r="D25" s="1"/>
      <c r="E25" s="1"/>
      <c r="F25" s="1"/>
    </row>
    <row r="26" spans="1:7" x14ac:dyDescent="0.25">
      <c r="A26" s="10" t="s">
        <v>14</v>
      </c>
      <c r="B26" s="11">
        <v>0</v>
      </c>
      <c r="C26" s="352">
        <v>0</v>
      </c>
      <c r="E26" s="1"/>
    </row>
    <row r="27" spans="1:7" x14ac:dyDescent="0.25">
      <c r="A27" s="10" t="s">
        <v>15</v>
      </c>
      <c r="B27" s="352">
        <f>[1]AT!$H$207</f>
        <v>111.93729999999999</v>
      </c>
      <c r="C27" s="352">
        <f>[1]AT!$I$207</f>
        <v>131.805543</v>
      </c>
    </row>
    <row r="28" spans="1:7" x14ac:dyDescent="0.25">
      <c r="A28" s="10" t="s">
        <v>16</v>
      </c>
      <c r="B28" s="352">
        <v>0</v>
      </c>
      <c r="C28" s="352">
        <v>0</v>
      </c>
    </row>
    <row r="29" spans="1:7" x14ac:dyDescent="0.25">
      <c r="A29" s="10" t="s">
        <v>17</v>
      </c>
      <c r="B29" s="352">
        <f>[1]Vieillesse!$H$201</f>
        <v>2556.185583</v>
      </c>
      <c r="C29" s="352">
        <f>[1]Vieillesse!$I$201</f>
        <v>2497</v>
      </c>
    </row>
    <row r="30" spans="1:7" x14ac:dyDescent="0.25">
      <c r="A30" s="185" t="s">
        <v>77</v>
      </c>
      <c r="B30" s="353">
        <f>[1]Maladie!$H$250</f>
        <v>10.738475960000001</v>
      </c>
      <c r="C30" s="353">
        <f>[1]Maladie!$I$250</f>
        <v>18.713454219999999</v>
      </c>
    </row>
    <row r="31" spans="1:7" x14ac:dyDescent="0.25">
      <c r="A31" s="185" t="s">
        <v>78</v>
      </c>
      <c r="B31" s="353">
        <f>[1]AT!$H$208</f>
        <v>0</v>
      </c>
      <c r="C31" s="353">
        <f>[1]AT!$I$208</f>
        <v>0</v>
      </c>
    </row>
    <row r="32" spans="1:7" x14ac:dyDescent="0.25">
      <c r="A32" s="185" t="s">
        <v>79</v>
      </c>
      <c r="B32" s="353">
        <v>0</v>
      </c>
      <c r="C32" s="353">
        <v>0</v>
      </c>
      <c r="D32" s="34"/>
    </row>
    <row r="33" spans="1:3" x14ac:dyDescent="0.25">
      <c r="A33" s="185" t="s">
        <v>80</v>
      </c>
      <c r="B33" s="353">
        <f>[1]Vieillesse!$H$209</f>
        <v>107.28815077</v>
      </c>
      <c r="C33" s="353">
        <f>[1]Vieillesse!$I$209</f>
        <v>122.75254905000001</v>
      </c>
    </row>
    <row r="34" spans="1:3" x14ac:dyDescent="0.25">
      <c r="A34" s="185" t="s">
        <v>182</v>
      </c>
      <c r="B34" s="353">
        <f>[1]SASPA!$H$209</f>
        <v>644.37843103</v>
      </c>
      <c r="C34" s="353">
        <f>[1]SASPA!$I$209</f>
        <v>655.69202502000007</v>
      </c>
    </row>
    <row r="35" spans="1:3" x14ac:dyDescent="0.25">
      <c r="A35" s="32" t="s">
        <v>81</v>
      </c>
      <c r="B35" s="354">
        <v>0</v>
      </c>
      <c r="C35" s="354">
        <v>0</v>
      </c>
    </row>
    <row r="36" spans="1:3" x14ac:dyDescent="0.25">
      <c r="A36" s="32" t="s">
        <v>82</v>
      </c>
      <c r="B36" s="354">
        <v>0</v>
      </c>
      <c r="C36" s="354">
        <v>0</v>
      </c>
    </row>
    <row r="37" spans="1:3" x14ac:dyDescent="0.25">
      <c r="A37" s="32" t="s">
        <v>83</v>
      </c>
      <c r="B37" s="354">
        <v>0</v>
      </c>
      <c r="C37" s="354">
        <v>0</v>
      </c>
    </row>
    <row r="38" spans="1:3" x14ac:dyDescent="0.25">
      <c r="A38" s="32" t="s">
        <v>84</v>
      </c>
      <c r="B38" s="354">
        <f>[1]Vieillesse!$H$204</f>
        <v>409.50440794000002</v>
      </c>
      <c r="C38" s="354">
        <f>[1]Vieillesse!$I$204</f>
        <v>405.46763747999995</v>
      </c>
    </row>
    <row r="39" spans="1:3" x14ac:dyDescent="0.25">
      <c r="A39" s="32" t="s">
        <v>181</v>
      </c>
      <c r="B39" s="354">
        <f>[1]SASPA!$H$204</f>
        <v>0</v>
      </c>
      <c r="C39" s="354">
        <f>[1]SASPA!$I$204</f>
        <v>0</v>
      </c>
    </row>
    <row r="40" spans="1:3" x14ac:dyDescent="0.25">
      <c r="A40" s="33" t="s">
        <v>31</v>
      </c>
      <c r="B40" s="355">
        <f>[1]Maladie!$H$253</f>
        <v>2684.8293950799998</v>
      </c>
      <c r="C40" s="355">
        <f>[1]Maladie!$I$253</f>
        <v>2740.6044712799999</v>
      </c>
    </row>
    <row r="41" spans="1:3" x14ac:dyDescent="0.25">
      <c r="A41" s="33" t="s">
        <v>32</v>
      </c>
      <c r="B41" s="355">
        <v>0</v>
      </c>
      <c r="C41" s="355">
        <v>0</v>
      </c>
    </row>
    <row r="42" spans="1:3" x14ac:dyDescent="0.25">
      <c r="A42" s="33" t="s">
        <v>33</v>
      </c>
      <c r="B42" s="355">
        <f>[1]Famille!$H$171</f>
        <v>124.05153402000001</v>
      </c>
      <c r="C42" s="355">
        <f>[1]Famille!$I$171</f>
        <v>48.467233780000001</v>
      </c>
    </row>
    <row r="43" spans="1:3" x14ac:dyDescent="0.25">
      <c r="A43" s="33" t="s">
        <v>34</v>
      </c>
      <c r="B43" s="355">
        <v>0</v>
      </c>
      <c r="C43" s="355">
        <v>0</v>
      </c>
    </row>
    <row r="44" spans="1:3" x14ac:dyDescent="0.25">
      <c r="A44" s="5" t="s">
        <v>150</v>
      </c>
      <c r="B44" s="474">
        <f>+[1]SASPA!$H$208</f>
        <v>0</v>
      </c>
      <c r="C44" s="474">
        <f>+[1]SASPA!$I$208</f>
        <v>0</v>
      </c>
    </row>
    <row r="45" spans="1:3" x14ac:dyDescent="0.25">
      <c r="A45" s="5"/>
      <c r="B45" s="6"/>
      <c r="C45" s="6"/>
    </row>
    <row r="46" spans="1:3" x14ac:dyDescent="0.25">
      <c r="A46" s="5"/>
      <c r="B46" s="6"/>
      <c r="C46" s="6"/>
    </row>
    <row r="47" spans="1:3" x14ac:dyDescent="0.25">
      <c r="A47" s="5"/>
      <c r="B47" s="6"/>
      <c r="C47" s="6"/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H19"/>
  <sheetViews>
    <sheetView zoomScale="90" zoomScaleNormal="90" workbookViewId="0"/>
  </sheetViews>
  <sheetFormatPr baseColWidth="10" defaultRowHeight="12.5" x14ac:dyDescent="0.25"/>
  <cols>
    <col min="1" max="1" width="41" customWidth="1"/>
    <col min="2" max="2" width="14.26953125" bestFit="1" customWidth="1"/>
  </cols>
  <sheetData>
    <row r="1" spans="1:8" ht="13" x14ac:dyDescent="0.3">
      <c r="A1" s="19" t="s">
        <v>156</v>
      </c>
    </row>
    <row r="2" spans="1:8" ht="13.5" thickBot="1" x14ac:dyDescent="0.35">
      <c r="D2" s="468">
        <f>D4-C4</f>
        <v>18054</v>
      </c>
      <c r="E2" s="468">
        <f>E4-D4</f>
        <v>34454</v>
      </c>
      <c r="F2" s="468">
        <f>F4-E4</f>
        <v>13363</v>
      </c>
      <c r="G2" s="468">
        <f>G4-F4</f>
        <v>19994</v>
      </c>
      <c r="H2" s="468">
        <f>H4-G4</f>
        <v>8073</v>
      </c>
    </row>
    <row r="3" spans="1:8" ht="22.5" customHeight="1" x14ac:dyDescent="0.25">
      <c r="A3" s="223" t="s">
        <v>106</v>
      </c>
      <c r="B3" s="224">
        <v>2016</v>
      </c>
      <c r="C3" s="224">
        <f>B3+1</f>
        <v>2017</v>
      </c>
      <c r="D3" s="224">
        <f t="shared" ref="D3:H3" si="0">C3+1</f>
        <v>2018</v>
      </c>
      <c r="E3" s="224">
        <f t="shared" si="0"/>
        <v>2019</v>
      </c>
      <c r="F3" s="224">
        <f t="shared" si="0"/>
        <v>2020</v>
      </c>
      <c r="G3" s="224">
        <f t="shared" si="0"/>
        <v>2021</v>
      </c>
      <c r="H3" s="224">
        <f t="shared" si="0"/>
        <v>2022</v>
      </c>
    </row>
    <row r="4" spans="1:8" x14ac:dyDescent="0.25">
      <c r="A4" s="225" t="s">
        <v>107</v>
      </c>
      <c r="B4" s="226">
        <v>1836182</v>
      </c>
      <c r="C4" s="226">
        <v>1848380</v>
      </c>
      <c r="D4" s="226">
        <v>1866434</v>
      </c>
      <c r="E4" s="463">
        <f>[2]Effectifs!$L$10</f>
        <v>1900888</v>
      </c>
      <c r="F4" s="464">
        <f>[2]Effectifs!$N$10</f>
        <v>1914251</v>
      </c>
      <c r="G4" s="464">
        <f>[2]Effectifs!$P$10</f>
        <v>1934245</v>
      </c>
      <c r="H4" s="464">
        <f>[2]Effectifs!$R$10</f>
        <v>1942318</v>
      </c>
    </row>
    <row r="5" spans="1:8" x14ac:dyDescent="0.25">
      <c r="A5" s="227" t="s">
        <v>108</v>
      </c>
      <c r="B5" s="226">
        <v>2517500</v>
      </c>
      <c r="C5" s="226">
        <v>2513859</v>
      </c>
      <c r="D5" s="226">
        <v>2483695</v>
      </c>
      <c r="E5" s="463">
        <f>[2]Effectifs!$L$16</f>
        <v>2442126</v>
      </c>
      <c r="F5" s="464">
        <f>[2]Effectifs!$N$16</f>
        <v>2396398</v>
      </c>
      <c r="G5" s="464">
        <f>[2]Effectifs!$P$16</f>
        <v>2335989</v>
      </c>
      <c r="H5" s="464">
        <v>2288162</v>
      </c>
    </row>
    <row r="6" spans="1:8" ht="13" thickBot="1" x14ac:dyDescent="0.3">
      <c r="A6" s="228" t="s">
        <v>88</v>
      </c>
      <c r="B6" s="229">
        <v>28615</v>
      </c>
      <c r="C6" s="229">
        <v>29077</v>
      </c>
      <c r="D6" s="229">
        <v>29405</v>
      </c>
      <c r="E6" s="466">
        <f>[3]Effectifs!$L$20</f>
        <v>29804</v>
      </c>
      <c r="F6" s="465">
        <f>[3]Effectifs!$N$20</f>
        <v>29784</v>
      </c>
      <c r="G6" s="465">
        <f>[3]Effectifs!$P$20</f>
        <v>29893</v>
      </c>
      <c r="H6" s="465">
        <f>[3]Effectifs!$R$20</f>
        <v>29805</v>
      </c>
    </row>
    <row r="7" spans="1:8" x14ac:dyDescent="0.25">
      <c r="A7" s="230"/>
      <c r="B7" s="231"/>
      <c r="C7" s="231"/>
      <c r="D7" s="231"/>
      <c r="E7" s="231"/>
      <c r="F7" s="231"/>
      <c r="G7" s="231"/>
      <c r="H7" s="231"/>
    </row>
    <row r="8" spans="1:8" s="20" customFormat="1" ht="25" x14ac:dyDescent="0.25">
      <c r="A8" s="232" t="s">
        <v>109</v>
      </c>
      <c r="B8" s="233">
        <v>155007</v>
      </c>
      <c r="C8" s="233">
        <v>158140</v>
      </c>
      <c r="D8" s="233">
        <v>157840</v>
      </c>
      <c r="E8" s="467">
        <v>157729</v>
      </c>
      <c r="F8" s="467">
        <v>154451</v>
      </c>
      <c r="G8" s="467">
        <v>153728</v>
      </c>
      <c r="H8" s="467">
        <v>151837</v>
      </c>
    </row>
    <row r="9" spans="1:8" x14ac:dyDescent="0.25">
      <c r="A9" s="84" t="s">
        <v>110</v>
      </c>
      <c r="B9" s="226">
        <v>672075</v>
      </c>
      <c r="C9" s="226">
        <v>677527</v>
      </c>
      <c r="D9" s="226">
        <v>682728</v>
      </c>
      <c r="E9" s="463">
        <f>[3]Effectifs!$L$22</f>
        <v>702791.35812315706</v>
      </c>
      <c r="F9" s="463">
        <f>[3]Effectifs!$N$22</f>
        <v>685222</v>
      </c>
      <c r="G9" s="463">
        <v>714701</v>
      </c>
      <c r="H9" s="463">
        <v>743655</v>
      </c>
    </row>
    <row r="11" spans="1:8" ht="13" x14ac:dyDescent="0.3">
      <c r="A11" s="19" t="s">
        <v>18</v>
      </c>
    </row>
    <row r="12" spans="1:8" ht="13" thickBot="1" x14ac:dyDescent="0.3"/>
    <row r="13" spans="1:8" ht="13" x14ac:dyDescent="0.25">
      <c r="A13" s="223" t="s">
        <v>106</v>
      </c>
      <c r="B13" s="224" t="s">
        <v>123</v>
      </c>
      <c r="C13" s="224" t="s">
        <v>130</v>
      </c>
      <c r="D13" s="224" t="s">
        <v>135</v>
      </c>
      <c r="E13" s="224" t="s">
        <v>136</v>
      </c>
      <c r="F13" s="224" t="s">
        <v>139</v>
      </c>
      <c r="G13" s="224" t="s">
        <v>157</v>
      </c>
    </row>
    <row r="14" spans="1:8" x14ac:dyDescent="0.25">
      <c r="A14" s="225" t="str">
        <f>A4</f>
        <v xml:space="preserve">Bénéficiaires - maladie </v>
      </c>
      <c r="B14" s="234">
        <f t="shared" ref="B14:E15" si="1">C4/B4-1</f>
        <v>6.643132325662604E-3</v>
      </c>
      <c r="C14" s="234">
        <f t="shared" si="1"/>
        <v>9.7674720566116591E-3</v>
      </c>
      <c r="D14" s="234">
        <f>E4/D4-1</f>
        <v>1.845980088232424E-2</v>
      </c>
      <c r="E14" s="235">
        <f>F4/E4-1</f>
        <v>7.0298723543944508E-3</v>
      </c>
      <c r="F14" s="235">
        <f>G4/F4-1</f>
        <v>1.0444816275399615E-2</v>
      </c>
      <c r="G14" s="235">
        <f>H4/G4-1</f>
        <v>4.1737215295891694E-3</v>
      </c>
    </row>
    <row r="15" spans="1:8" x14ac:dyDescent="0.25">
      <c r="A15" s="225" t="str">
        <f t="shared" ref="A15:A16" si="2">A5</f>
        <v>Bénéficiaires de pensions vieillesse</v>
      </c>
      <c r="B15" s="234">
        <f t="shared" si="1"/>
        <v>-1.4462760675273412E-3</v>
      </c>
      <c r="C15" s="234">
        <f t="shared" si="1"/>
        <v>-1.1999081889636609E-2</v>
      </c>
      <c r="D15" s="234">
        <f t="shared" si="1"/>
        <v>-1.6736757130001889E-2</v>
      </c>
      <c r="E15" s="235">
        <f t="shared" si="1"/>
        <v>-1.8724668587943416E-2</v>
      </c>
      <c r="F15" s="235">
        <f>G5/F5-1</f>
        <v>-2.52082500486146E-2</v>
      </c>
      <c r="G15" s="235">
        <f>H5/G5-1</f>
        <v>-2.047398339632589E-2</v>
      </c>
    </row>
    <row r="16" spans="1:8" ht="13" thickBot="1" x14ac:dyDescent="0.3">
      <c r="A16" s="225" t="str">
        <f t="shared" si="2"/>
        <v>Bénéficiaires de pensions d'invalidité</v>
      </c>
      <c r="B16" s="236">
        <f t="shared" ref="B16:E16" si="3">C6/B6-1</f>
        <v>1.614537829809537E-2</v>
      </c>
      <c r="C16" s="236">
        <f t="shared" si="3"/>
        <v>1.128039343811249E-2</v>
      </c>
      <c r="D16" s="236">
        <f t="shared" si="3"/>
        <v>1.3569120897806597E-2</v>
      </c>
      <c r="E16" s="237">
        <f t="shared" si="3"/>
        <v>-6.7105086565566463E-4</v>
      </c>
      <c r="F16" s="237">
        <f>G6/F6-1</f>
        <v>3.659683051302709E-3</v>
      </c>
      <c r="G16" s="237">
        <f>H6/G6-1</f>
        <v>-2.9438330043822791E-3</v>
      </c>
    </row>
    <row r="17" spans="1:7" x14ac:dyDescent="0.25">
      <c r="A17" s="230"/>
      <c r="B17" s="238"/>
      <c r="C17" s="238"/>
      <c r="D17" s="238"/>
      <c r="E17" s="238"/>
      <c r="F17" s="238"/>
      <c r="G17" s="238"/>
    </row>
    <row r="18" spans="1:7" ht="25" x14ac:dyDescent="0.25">
      <c r="A18" s="232" t="str">
        <f>A8</f>
        <v>Familles bénéficiaires de prestations familiales dans l'année</v>
      </c>
      <c r="B18" s="234">
        <f t="shared" ref="B18:E19" si="4">C8/B8-1</f>
        <v>2.021199042623878E-2</v>
      </c>
      <c r="C18" s="234">
        <f t="shared" si="4"/>
        <v>-1.8970532439610555E-3</v>
      </c>
      <c r="D18" s="234">
        <f t="shared" si="4"/>
        <v>-7.0324379118091862E-4</v>
      </c>
      <c r="E18" s="234">
        <f t="shared" si="4"/>
        <v>-2.0782481344584713E-2</v>
      </c>
      <c r="F18" s="234">
        <f>G8/F8-1</f>
        <v>-4.6810962700144509E-3</v>
      </c>
      <c r="G18" s="234">
        <f>H8/G8-1</f>
        <v>-1.2300947127393824E-2</v>
      </c>
    </row>
    <row r="19" spans="1:7" x14ac:dyDescent="0.25">
      <c r="A19" s="84" t="str">
        <f>A9</f>
        <v>Actifs cotisants au 1er juillet</v>
      </c>
      <c r="B19" s="234">
        <f t="shared" si="4"/>
        <v>8.1121898597626974E-3</v>
      </c>
      <c r="C19" s="234">
        <f t="shared" si="4"/>
        <v>7.6764468427088506E-3</v>
      </c>
      <c r="D19" s="234">
        <f t="shared" si="4"/>
        <v>2.938704450843832E-2</v>
      </c>
      <c r="E19" s="234">
        <f t="shared" si="4"/>
        <v>-2.4999394087709015E-2</v>
      </c>
      <c r="F19" s="234">
        <f>G9/F9-1</f>
        <v>4.3021093893657714E-2</v>
      </c>
      <c r="G19" s="234">
        <f>H9/G9-1</f>
        <v>4.0512046296283355E-2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N61"/>
  <sheetViews>
    <sheetView zoomScaleNormal="100" workbookViewId="0"/>
  </sheetViews>
  <sheetFormatPr baseColWidth="10" defaultRowHeight="12.5" x14ac:dyDescent="0.25"/>
  <cols>
    <col min="1" max="1" width="42" customWidth="1"/>
    <col min="6" max="6" width="16.81640625" bestFit="1" customWidth="1"/>
    <col min="7" max="7" width="17" customWidth="1"/>
    <col min="8" max="8" width="32.81640625" customWidth="1"/>
    <col min="9" max="9" width="21.54296875" bestFit="1" customWidth="1"/>
    <col min="10" max="13" width="9.81640625" customWidth="1"/>
  </cols>
  <sheetData>
    <row r="1" spans="1:13" ht="13" x14ac:dyDescent="0.3">
      <c r="A1" s="385" t="s">
        <v>0</v>
      </c>
      <c r="B1" s="420">
        <f>'COMPTES SA (Chiffres utiles)'!D3</f>
        <v>2021</v>
      </c>
      <c r="C1" s="430">
        <f>'COMPTES SA (Chiffres utiles)'!E3</f>
        <v>2022</v>
      </c>
      <c r="D1" s="425" t="s">
        <v>29</v>
      </c>
      <c r="E1" s="386" t="s">
        <v>67</v>
      </c>
      <c r="F1" s="387" t="s">
        <v>68</v>
      </c>
    </row>
    <row r="2" spans="1:13" ht="13" x14ac:dyDescent="0.3">
      <c r="A2" s="388" t="s">
        <v>20</v>
      </c>
      <c r="B2" s="421">
        <f>'SA1'!B3</f>
        <v>12829.667831100001</v>
      </c>
      <c r="C2" s="431">
        <f>'SA1'!C3</f>
        <v>13360.89333601</v>
      </c>
      <c r="D2" s="426">
        <f t="shared" ref="D2:D8" si="0">C2/$C$9</f>
        <v>0.86407851169668404</v>
      </c>
      <c r="E2" s="382">
        <f>C2/B2-1</f>
        <v>4.1406021722734776E-2</v>
      </c>
      <c r="F2" s="389">
        <f>(B2/$B$9)*E2*100</f>
        <v>3.5309508791677962</v>
      </c>
    </row>
    <row r="3" spans="1:13" ht="13" x14ac:dyDescent="0.3">
      <c r="A3" s="388" t="s">
        <v>72</v>
      </c>
      <c r="B3" s="421">
        <f>'COMPTES SA (Chiffres utiles)'!D25</f>
        <v>628.69835943999999</v>
      </c>
      <c r="C3" s="431">
        <f>'COMPTES SA (Chiffres utiles)'!E25</f>
        <v>467.22136929999999</v>
      </c>
      <c r="D3" s="426">
        <f t="shared" si="0"/>
        <v>3.0216238934379039E-2</v>
      </c>
      <c r="E3" s="382">
        <f>C3/B3-1</f>
        <v>-0.25684334580391188</v>
      </c>
      <c r="F3" s="389">
        <f t="shared" ref="F3:F8" si="1">(B3/$B$9)*E3*100</f>
        <v>-1.0733056207397309</v>
      </c>
    </row>
    <row r="4" spans="1:13" ht="13" x14ac:dyDescent="0.3">
      <c r="A4" s="390" t="s">
        <v>70</v>
      </c>
      <c r="B4" s="422">
        <f>'COMPTES SA (Chiffres utiles)'!D39</f>
        <v>793.46595298000011</v>
      </c>
      <c r="C4" s="432">
        <f>'COMPTES SA (Chiffres utiles)'!E39</f>
        <v>754.49803847999999</v>
      </c>
      <c r="D4" s="427">
        <f t="shared" si="0"/>
        <v>4.8795056271481181E-2</v>
      </c>
      <c r="E4" s="383">
        <f>C4/B4-1</f>
        <v>-4.9111010187203763E-2</v>
      </c>
      <c r="F4" s="471">
        <f t="shared" si="1"/>
        <v>-0.2590120216205028</v>
      </c>
      <c r="K4" s="31"/>
      <c r="L4" s="30"/>
      <c r="M4" s="30"/>
    </row>
    <row r="5" spans="1:13" ht="13" x14ac:dyDescent="0.3">
      <c r="A5" s="390" t="s">
        <v>71</v>
      </c>
      <c r="B5" s="422">
        <f>'COMPTES SA (Chiffres utiles)'!D45</f>
        <v>681.07337615999995</v>
      </c>
      <c r="C5" s="432">
        <f>'COMPTES SA (Chiffres utiles)'!E45</f>
        <v>689.57197067999994</v>
      </c>
      <c r="D5" s="427">
        <f t="shared" si="0"/>
        <v>4.4596143921530808E-2</v>
      </c>
      <c r="E5" s="383">
        <f>C5/B5-1</f>
        <v>1.2478236292125189E-2</v>
      </c>
      <c r="F5" s="471">
        <f>(B5/$B$9)*E5*100</f>
        <v>5.6488477143371497E-2</v>
      </c>
      <c r="K5" s="31"/>
      <c r="L5" s="30"/>
      <c r="M5" s="30"/>
    </row>
    <row r="6" spans="1:13" ht="13" x14ac:dyDescent="0.3">
      <c r="A6" s="391" t="s">
        <v>69</v>
      </c>
      <c r="B6" s="423">
        <f>'COMPTES SA (Chiffres utiles)'!D5-'SA1'!B3</f>
        <v>107.61891875000038</v>
      </c>
      <c r="C6" s="433">
        <f>'COMPTES SA (Chiffres utiles)'!E5-'SA1'!C3</f>
        <v>187.22831293000309</v>
      </c>
      <c r="D6" s="428">
        <f t="shared" si="0"/>
        <v>1.2108468941070889E-2</v>
      </c>
      <c r="E6" s="384">
        <f t="shared" ref="E6:E8" si="2">C6/B6-1</f>
        <v>0.73973419455120126</v>
      </c>
      <c r="F6" s="472">
        <f>(B6/$B$9)*E6*100</f>
        <v>0.52914790003827183</v>
      </c>
    </row>
    <row r="7" spans="1:13" ht="13" x14ac:dyDescent="0.3">
      <c r="A7" s="391" t="s">
        <v>73</v>
      </c>
      <c r="B7" s="423">
        <f>'COMPTES SA (Chiffres utiles)'!D27</f>
        <v>1.8401278300000001</v>
      </c>
      <c r="C7" s="433">
        <f>'COMPTES SA (Chiffres utiles)'!E27</f>
        <v>3.1788032599999996</v>
      </c>
      <c r="D7" s="428">
        <f t="shared" si="0"/>
        <v>2.0558023485408891E-4</v>
      </c>
      <c r="E7" s="384">
        <f>C7/B7-1</f>
        <v>0.72749045374744381</v>
      </c>
      <c r="F7" s="472">
        <f t="shared" si="1"/>
        <v>8.8979108547878431E-3</v>
      </c>
    </row>
    <row r="8" spans="1:13" ht="13" x14ac:dyDescent="0.3">
      <c r="A8" s="391" t="s">
        <v>21</v>
      </c>
      <c r="B8" s="423">
        <f>'COMPTES SA (Chiffres utiles)'!D33</f>
        <v>2.4639541299999999</v>
      </c>
      <c r="C8" s="433">
        <f>'COMPTES SA (Chiffres utiles)'!E33</f>
        <v>0</v>
      </c>
      <c r="D8" s="428">
        <f t="shared" si="0"/>
        <v>0</v>
      </c>
      <c r="E8" s="384">
        <f t="shared" si="2"/>
        <v>-1</v>
      </c>
      <c r="F8" s="472">
        <f t="shared" si="1"/>
        <v>-1.6377415845322825E-2</v>
      </c>
    </row>
    <row r="9" spans="1:13" ht="13.5" thickBot="1" x14ac:dyDescent="0.35">
      <c r="A9" s="392" t="s">
        <v>22</v>
      </c>
      <c r="B9" s="424">
        <f>SUM(B2:B8)</f>
        <v>15044.828520390003</v>
      </c>
      <c r="C9" s="434">
        <f>SUM(C2:C8)</f>
        <v>15462.591830660002</v>
      </c>
      <c r="D9" s="429">
        <f>SUM(D2:D8)</f>
        <v>1</v>
      </c>
      <c r="E9" s="393">
        <f>C9/B9-1</f>
        <v>2.7767901089986502E-2</v>
      </c>
      <c r="F9" s="394">
        <f>(B9/$B$9)*E9*100</f>
        <v>2.7767901089986502</v>
      </c>
    </row>
    <row r="10" spans="1:13" ht="13" x14ac:dyDescent="0.3">
      <c r="A10" s="324"/>
      <c r="B10" s="243">
        <f>'COMPTES SA (Chiffres utiles)'!D51</f>
        <v>15044.828520390003</v>
      </c>
      <c r="C10" s="243">
        <f>'COMPTES SA (Chiffres utiles)'!E51</f>
        <v>15462.591830660002</v>
      </c>
      <c r="D10" s="395" t="s">
        <v>142</v>
      </c>
    </row>
    <row r="11" spans="1:13" ht="13" x14ac:dyDescent="0.3">
      <c r="A11" s="364"/>
      <c r="B11" s="364"/>
      <c r="C11" s="364"/>
      <c r="D11" s="364"/>
      <c r="E11" s="364"/>
      <c r="F11" s="364"/>
      <c r="G11" s="296"/>
      <c r="H11" s="19" t="s">
        <v>0</v>
      </c>
    </row>
    <row r="12" spans="1:13" ht="13" x14ac:dyDescent="0.3">
      <c r="A12" s="377" t="s">
        <v>137</v>
      </c>
      <c r="B12" s="378">
        <f>B7+B8</f>
        <v>4.3040819599999995</v>
      </c>
      <c r="C12" s="378">
        <f>C7+C8</f>
        <v>3.1788032599999996</v>
      </c>
      <c r="D12" s="379">
        <f>C12/C9</f>
        <v>2.0558023485408891E-4</v>
      </c>
      <c r="E12" s="380">
        <f>C12/B12-1</f>
        <v>-0.26144453345865193</v>
      </c>
      <c r="F12" s="381">
        <f>(B12/$B$9)*E12*100</f>
        <v>-7.4795049905349792E-3</v>
      </c>
      <c r="H12" s="197" t="s">
        <v>164</v>
      </c>
      <c r="I12" s="266">
        <f>F2</f>
        <v>3.5309508791677962</v>
      </c>
    </row>
    <row r="13" spans="1:13" x14ac:dyDescent="0.25">
      <c r="A13" s="324"/>
      <c r="H13" s="197" t="s">
        <v>158</v>
      </c>
      <c r="I13" s="266">
        <f t="shared" ref="I13:I14" si="3">F3</f>
        <v>-1.0733056207397309</v>
      </c>
    </row>
    <row r="14" spans="1:13" x14ac:dyDescent="0.25">
      <c r="B14" s="31"/>
      <c r="C14" s="31"/>
      <c r="D14" s="30"/>
      <c r="E14" s="30"/>
      <c r="F14" s="3"/>
      <c r="H14" s="34" t="s">
        <v>159</v>
      </c>
      <c r="I14" s="469">
        <f t="shared" si="3"/>
        <v>-0.2590120216205028</v>
      </c>
    </row>
    <row r="15" spans="1:13" x14ac:dyDescent="0.25">
      <c r="B15" s="31"/>
      <c r="C15" s="31"/>
      <c r="D15" s="30"/>
      <c r="E15" s="30"/>
      <c r="F15" s="3"/>
      <c r="H15" t="s">
        <v>160</v>
      </c>
      <c r="I15" s="469">
        <f>F6</f>
        <v>0.52914790003827183</v>
      </c>
    </row>
    <row r="16" spans="1:13" x14ac:dyDescent="0.25">
      <c r="B16" s="31"/>
      <c r="C16" s="31"/>
      <c r="D16" s="30"/>
      <c r="E16" s="30"/>
      <c r="F16" s="3"/>
      <c r="H16" s="34" t="s">
        <v>161</v>
      </c>
      <c r="I16" s="453">
        <f>F5</f>
        <v>5.6488477143371497E-2</v>
      </c>
    </row>
    <row r="17" spans="1:9" x14ac:dyDescent="0.25">
      <c r="B17" s="31"/>
      <c r="C17" s="31"/>
      <c r="D17" s="30"/>
      <c r="E17" s="30"/>
      <c r="F17" s="3"/>
      <c r="H17" t="s">
        <v>162</v>
      </c>
      <c r="I17" s="453">
        <f>F7</f>
        <v>8.8979108547878431E-3</v>
      </c>
    </row>
    <row r="18" spans="1:9" x14ac:dyDescent="0.25">
      <c r="A18" s="34"/>
      <c r="B18" s="31"/>
      <c r="C18" s="31"/>
      <c r="D18" s="30"/>
      <c r="E18" s="30"/>
      <c r="F18" s="3"/>
      <c r="H18" t="s">
        <v>163</v>
      </c>
      <c r="I18" s="453">
        <f>F8</f>
        <v>-1.6377415845322825E-2</v>
      </c>
    </row>
    <row r="19" spans="1:9" x14ac:dyDescent="0.25">
      <c r="A19" s="34"/>
      <c r="B19" s="31"/>
      <c r="C19" s="31"/>
      <c r="D19" s="30"/>
      <c r="E19" s="30"/>
      <c r="F19" s="3"/>
    </row>
    <row r="20" spans="1:9" x14ac:dyDescent="0.25">
      <c r="A20" s="34"/>
      <c r="B20" s="31"/>
      <c r="C20" s="31"/>
      <c r="D20" s="30"/>
      <c r="E20" s="30"/>
      <c r="F20" s="3"/>
    </row>
    <row r="21" spans="1:9" ht="13" x14ac:dyDescent="0.3">
      <c r="A21" s="175"/>
      <c r="B21" s="176"/>
      <c r="C21" s="176"/>
      <c r="D21" s="177"/>
      <c r="E21" s="177"/>
      <c r="F21" s="178"/>
    </row>
    <row r="23" spans="1:9" x14ac:dyDescent="0.25">
      <c r="C23" s="179"/>
    </row>
    <row r="36" spans="1:9" ht="13" x14ac:dyDescent="0.3">
      <c r="A36" s="273" t="s">
        <v>0</v>
      </c>
      <c r="B36" s="19">
        <v>2020</v>
      </c>
      <c r="C36" s="220">
        <f>B1</f>
        <v>2021</v>
      </c>
      <c r="D36" s="273">
        <f>C1</f>
        <v>2022</v>
      </c>
      <c r="E36" s="184" t="s">
        <v>29</v>
      </c>
      <c r="F36" s="19" t="s">
        <v>145</v>
      </c>
      <c r="G36" s="273" t="s">
        <v>166</v>
      </c>
      <c r="H36" s="273" t="s">
        <v>165</v>
      </c>
      <c r="I36" s="19" t="s">
        <v>146</v>
      </c>
    </row>
    <row r="37" spans="1:9" x14ac:dyDescent="0.25">
      <c r="A37" s="283" t="s">
        <v>118</v>
      </c>
      <c r="B37" s="198">
        <f>'COMPTES SA (Chiffres utiles)'!C7+'COMPTES SA (Chiffres utiles)'!C14+'COMPTES SA (Chiffres utiles)'!C20+'COMPTES SA (Chiffres utiles)'!C28+'COMPTES SA (Chiffres utiles)'!C34+'COMPTES SA (Chiffres utiles)'!C40+'COMPTES SA (Chiffres utiles)'!C46</f>
        <v>6860.9779221400004</v>
      </c>
      <c r="C37" s="198">
        <f>'COMPTES SA (Chiffres utiles)'!D7+'COMPTES SA (Chiffres utiles)'!D14+'COMPTES SA (Chiffres utiles)'!D20+'COMPTES SA (Chiffres utiles)'!D28+'COMPTES SA (Chiffres utiles)'!D34+'COMPTES SA (Chiffres utiles)'!D40+'COMPTES SA (Chiffres utiles)'!D46</f>
        <v>5880.6084375599994</v>
      </c>
      <c r="D37" s="267">
        <f>'COMPTES SA (Chiffres utiles)'!E7+'COMPTES SA (Chiffres utiles)'!E14+'COMPTES SA (Chiffres utiles)'!E20+'COMPTES SA (Chiffres utiles)'!E28+'COMPTES SA (Chiffres utiles)'!E34+'COMPTES SA (Chiffres utiles)'!E40+'COMPTES SA (Chiffres utiles)'!E46</f>
        <v>6106.6009445300006</v>
      </c>
      <c r="E37" s="199">
        <f>D37/$D$42</f>
        <v>0.39492738419321954</v>
      </c>
      <c r="F37" s="199">
        <f>C37/B37-1</f>
        <v>-0.14289063391625301</v>
      </c>
      <c r="G37" s="279">
        <f>D37/C37-1</f>
        <v>3.8430123238025082E-2</v>
      </c>
      <c r="H37" s="280">
        <f t="shared" ref="H37:H42" si="4">(C37/$C$42)*G37*100</f>
        <v>1.5021275029071757</v>
      </c>
      <c r="I37" s="200">
        <f>(B37/$B$42)*F37*100</f>
        <v>-6.155658663328289</v>
      </c>
    </row>
    <row r="38" spans="1:9" x14ac:dyDescent="0.25">
      <c r="A38" s="275" t="s">
        <v>87</v>
      </c>
      <c r="B38" s="35">
        <f>'COMPTES SA (Chiffres utiles)'!C8+'COMPTES SA (Chiffres utiles)'!C15+'COMPTES SA (Chiffres utiles)'!C21+'COMPTES SA (Chiffres utiles)'!C29+'COMPTES SA (Chiffres utiles)'!C35+'COMPTES SA (Chiffres utiles)'!C41+'COMPTES SA (Chiffres utiles)'!C47</f>
        <v>702.02691303999995</v>
      </c>
      <c r="C38" s="35">
        <f>'COMPTES SA (Chiffres utiles)'!D8+'COMPTES SA (Chiffres utiles)'!D15+'COMPTES SA (Chiffres utiles)'!D21+'COMPTES SA (Chiffres utiles)'!D29+'COMPTES SA (Chiffres utiles)'!D35+'COMPTES SA (Chiffres utiles)'!D41+'COMPTES SA (Chiffres utiles)'!D47</f>
        <v>725.69352690000005</v>
      </c>
      <c r="D38" s="268">
        <f>'COMPTES SA (Chiffres utiles)'!E8+'COMPTES SA (Chiffres utiles)'!E15+'COMPTES SA (Chiffres utiles)'!E21+'COMPTES SA (Chiffres utiles)'!E29+'COMPTES SA (Chiffres utiles)'!E35+'COMPTES SA (Chiffres utiles)'!E41+'COMPTES SA (Chiffres utiles)'!E47</f>
        <v>740.97023516000002</v>
      </c>
      <c r="E38" s="186">
        <f>D38/$D$42</f>
        <v>4.792018332209786E-2</v>
      </c>
      <c r="F38" s="186">
        <f t="shared" ref="F38:G41" si="5">C38/B38-1</f>
        <v>3.3711832723785751E-2</v>
      </c>
      <c r="G38" s="279">
        <f t="shared" si="5"/>
        <v>2.1051184410116885E-2</v>
      </c>
      <c r="H38" s="281">
        <f t="shared" si="4"/>
        <v>0.10154125877404156</v>
      </c>
      <c r="I38" s="222">
        <f t="shared" ref="I38:I39" si="6">(B38/$B$42)*F38*100</f>
        <v>0.14860070507127984</v>
      </c>
    </row>
    <row r="39" spans="1:9" x14ac:dyDescent="0.25">
      <c r="A39" s="275" t="s">
        <v>85</v>
      </c>
      <c r="B39" s="35">
        <f>'COMPTES SA (Chiffres utiles)'!C9+'COMPTES SA (Chiffres utiles)'!C16+'COMPTES SA (Chiffres utiles)'!C22+'COMPTES SA (Chiffres utiles)'!C30+'COMPTES SA (Chiffres utiles)'!C36+'COMPTES SA (Chiffres utiles)'!C42+'COMPTES SA (Chiffres utiles)'!C48</f>
        <v>986.46949825000002</v>
      </c>
      <c r="C39" s="35">
        <f>'COMPTES SA (Chiffres utiles)'!D9+'COMPTES SA (Chiffres utiles)'!D16+'COMPTES SA (Chiffres utiles)'!D22+'COMPTES SA (Chiffres utiles)'!D30+'COMPTES SA (Chiffres utiles)'!D36+'COMPTES SA (Chiffres utiles)'!D42+'COMPTES SA (Chiffres utiles)'!D48</f>
        <v>953.31687942999997</v>
      </c>
      <c r="D39" s="268">
        <f>'COMPTES SA (Chiffres utiles)'!E9+'COMPTES SA (Chiffres utiles)'!E16+'COMPTES SA (Chiffres utiles)'!E22+'COMPTES SA (Chiffres utiles)'!E30+'COMPTES SA (Chiffres utiles)'!E36+'COMPTES SA (Chiffres utiles)'!E42+'COMPTES SA (Chiffres utiles)'!E48</f>
        <v>1023.51358857</v>
      </c>
      <c r="E39" s="186">
        <f>D39/$D$42</f>
        <v>6.6192886663445777E-2</v>
      </c>
      <c r="F39" s="186">
        <f t="shared" si="5"/>
        <v>-3.3607343033730808E-2</v>
      </c>
      <c r="G39" s="279">
        <f t="shared" si="5"/>
        <v>7.3634182562645423E-2</v>
      </c>
      <c r="H39" s="281">
        <f t="shared" si="4"/>
        <v>0.46658364397349983</v>
      </c>
      <c r="I39" s="200">
        <f t="shared" si="6"/>
        <v>-0.20816254326681941</v>
      </c>
    </row>
    <row r="40" spans="1:9" x14ac:dyDescent="0.25">
      <c r="A40" s="274" t="s">
        <v>86</v>
      </c>
      <c r="B40" s="198">
        <f>'COMPTES SA (Chiffres utiles)'!C10+'COMPTES SA (Chiffres utiles)'!C17+'COMPTES SA (Chiffres utiles)'!C23+'COMPTES SA (Chiffres utiles)'!C31+'COMPTES SA (Chiffres utiles)'!C37+'COMPTES SA (Chiffres utiles)'!C43+'COMPTES SA (Chiffres utiles)'!C49</f>
        <v>6704.1865379800029</v>
      </c>
      <c r="C40" s="198">
        <f>'COMPTES SA (Chiffres utiles)'!D10+'COMPTES SA (Chiffres utiles)'!D17+'COMPTES SA (Chiffres utiles)'!D23+'COMPTES SA (Chiffres utiles)'!D31+'COMPTES SA (Chiffres utiles)'!D37+'COMPTES SA (Chiffres utiles)'!D43+'COMPTES SA (Chiffres utiles)'!D49</f>
        <v>6805.3324983500024</v>
      </c>
      <c r="D40" s="267">
        <f>'COMPTES SA (Chiffres utiles)'!E10+'COMPTES SA (Chiffres utiles)'!E17+'COMPTES SA (Chiffres utiles)'!E23+'COMPTES SA (Chiffres utiles)'!E31+'COMPTES SA (Chiffres utiles)'!E37+'COMPTES SA (Chiffres utiles)'!E43+'COMPTES SA (Chiffres utiles)'!E49</f>
        <v>6893.7466213700009</v>
      </c>
      <c r="E40" s="199">
        <f>D40/$D$42</f>
        <v>0.44583383541824695</v>
      </c>
      <c r="F40" s="199">
        <f t="shared" si="5"/>
        <v>1.5086984796290448E-2</v>
      </c>
      <c r="G40" s="279">
        <f t="shared" si="5"/>
        <v>1.299188879330071E-2</v>
      </c>
      <c r="H40" s="280">
        <f t="shared" si="4"/>
        <v>0.58767119146736946</v>
      </c>
      <c r="I40" s="200">
        <f>(B40/$B$42)*F40*100</f>
        <v>0.63508709420814191</v>
      </c>
    </row>
    <row r="41" spans="1:9" x14ac:dyDescent="0.25">
      <c r="A41" s="274" t="s">
        <v>144</v>
      </c>
      <c r="B41" s="198">
        <f>'COMPTES SA (Chiffres utiles)'!C11+'COMPTES SA (Chiffres utiles)'!C18+'COMPTES SA (Chiffres utiles)'!C24+'COMPTES SA (Chiffres utiles)'!C32+'COMPTES SA (Chiffres utiles)'!C38+'COMPTES SA (Chiffres utiles)'!C44+'COMPTES SA (Chiffres utiles)'!C50</f>
        <v>672.65243151000004</v>
      </c>
      <c r="C41" s="198">
        <f>'COMPTES SA (Chiffres utiles)'!D11+'COMPTES SA (Chiffres utiles)'!D18+'COMPTES SA (Chiffres utiles)'!D24+'COMPTES SA (Chiffres utiles)'!D32+'COMPTES SA (Chiffres utiles)'!D38+'COMPTES SA (Chiffres utiles)'!D44+'COMPTES SA (Chiffres utiles)'!D50</f>
        <v>679.87717814999996</v>
      </c>
      <c r="D41" s="267">
        <f>'COMPTES SA (Chiffres utiles)'!E11+'COMPTES SA (Chiffres utiles)'!E18+'COMPTES SA (Chiffres utiles)'!E24+'COMPTES SA (Chiffres utiles)'!E32+'COMPTES SA (Chiffres utiles)'!E38+'COMPTES SA (Chiffres utiles)'!E44+'COMPTES SA (Chiffres utiles)'!E50</f>
        <v>697.76044102999992</v>
      </c>
      <c r="E41" s="199">
        <f>D41/$D$42</f>
        <v>4.5125710402989849E-2</v>
      </c>
      <c r="F41" s="199">
        <f t="shared" si="5"/>
        <v>1.0740683154569775E-2</v>
      </c>
      <c r="G41" s="279">
        <f t="shared" si="5"/>
        <v>2.6303666977999907E-2</v>
      </c>
      <c r="H41" s="280">
        <f t="shared" si="4"/>
        <v>0.11886651187657626</v>
      </c>
      <c r="I41" s="200">
        <f>(B41/$B$42)*F41*100</f>
        <v>4.5363584795705597E-2</v>
      </c>
    </row>
    <row r="42" spans="1:9" ht="13" x14ac:dyDescent="0.3">
      <c r="A42" s="276" t="s">
        <v>128</v>
      </c>
      <c r="B42" s="176">
        <f>SUM(B37:B41)</f>
        <v>15926.313302920003</v>
      </c>
      <c r="C42" s="176">
        <f>SUM(C37:C41)</f>
        <v>15044.828520390001</v>
      </c>
      <c r="D42" s="269">
        <f>SUM(D37:D41)</f>
        <v>15462.591830660002</v>
      </c>
      <c r="E42" s="177">
        <f>SUM(E37:E41)</f>
        <v>1</v>
      </c>
      <c r="F42" s="397">
        <f>C44/B42-1</f>
        <v>-9.8036622222779868E-2</v>
      </c>
      <c r="G42" s="365">
        <f>D42/C42-1</f>
        <v>2.7767901089986724E-2</v>
      </c>
      <c r="H42" s="282">
        <f t="shared" si="4"/>
        <v>2.7767901089986724</v>
      </c>
      <c r="I42" s="400">
        <f>(B42/$B$42)*F42*100</f>
        <v>-9.8036622222779872</v>
      </c>
    </row>
    <row r="43" spans="1:9" x14ac:dyDescent="0.25">
      <c r="B43" s="243"/>
      <c r="C43" s="243"/>
      <c r="D43" s="243"/>
    </row>
    <row r="44" spans="1:9" ht="13" x14ac:dyDescent="0.3">
      <c r="A44" s="398" t="s">
        <v>167</v>
      </c>
      <c r="B44" s="398"/>
      <c r="C44" s="399">
        <f>C37+C38+C39+C40</f>
        <v>14364.951342240001</v>
      </c>
    </row>
    <row r="46" spans="1:9" x14ac:dyDescent="0.25">
      <c r="A46" s="312"/>
    </row>
    <row r="57" spans="8:14" x14ac:dyDescent="0.25">
      <c r="H57" s="262"/>
      <c r="I57" s="263" t="s">
        <v>118</v>
      </c>
      <c r="J57" s="263" t="s">
        <v>119</v>
      </c>
      <c r="K57" s="263" t="s">
        <v>85</v>
      </c>
      <c r="L57" s="263" t="s">
        <v>86</v>
      </c>
      <c r="M57" s="263" t="s">
        <v>144</v>
      </c>
      <c r="N57" s="265" t="s">
        <v>127</v>
      </c>
    </row>
    <row r="58" spans="8:14" x14ac:dyDescent="0.25">
      <c r="H58" s="520" t="s">
        <v>168</v>
      </c>
      <c r="I58" s="522">
        <f>G37</f>
        <v>3.8430123238025082E-2</v>
      </c>
      <c r="J58" s="522">
        <f>G38</f>
        <v>2.1051184410116885E-2</v>
      </c>
      <c r="K58" s="522">
        <f>G39</f>
        <v>7.3634182562645423E-2</v>
      </c>
      <c r="L58" s="522">
        <f>G40</f>
        <v>1.299188879330071E-2</v>
      </c>
      <c r="M58" s="522">
        <f>+G41</f>
        <v>2.6303666977999907E-2</v>
      </c>
      <c r="N58" s="518">
        <f>G42</f>
        <v>2.7767901089986724E-2</v>
      </c>
    </row>
    <row r="59" spans="8:14" x14ac:dyDescent="0.25">
      <c r="H59" s="520"/>
      <c r="I59" s="522"/>
      <c r="J59" s="522"/>
      <c r="K59" s="522"/>
      <c r="L59" s="522"/>
      <c r="M59" s="522"/>
      <c r="N59" s="518"/>
    </row>
    <row r="60" spans="8:14" x14ac:dyDescent="0.25">
      <c r="H60" s="520" t="s">
        <v>169</v>
      </c>
      <c r="I60" s="521">
        <f>H37</f>
        <v>1.5021275029071757</v>
      </c>
      <c r="J60" s="521">
        <f>H38</f>
        <v>0.10154125877404156</v>
      </c>
      <c r="K60" s="521">
        <f>H39</f>
        <v>0.46658364397349983</v>
      </c>
      <c r="L60" s="521">
        <f>H40</f>
        <v>0.58767119146736946</v>
      </c>
      <c r="M60" s="521">
        <f>+H41</f>
        <v>0.11886651187657626</v>
      </c>
      <c r="N60" s="519">
        <f>H42</f>
        <v>2.7767901089986724</v>
      </c>
    </row>
    <row r="61" spans="8:14" x14ac:dyDescent="0.25">
      <c r="H61" s="520"/>
      <c r="I61" s="521"/>
      <c r="J61" s="521"/>
      <c r="K61" s="521"/>
      <c r="L61" s="521"/>
      <c r="M61" s="521"/>
      <c r="N61" s="519"/>
    </row>
  </sheetData>
  <mergeCells count="14">
    <mergeCell ref="N58:N59"/>
    <mergeCell ref="N60:N61"/>
    <mergeCell ref="H60:H61"/>
    <mergeCell ref="I60:I61"/>
    <mergeCell ref="J60:J61"/>
    <mergeCell ref="K60:K61"/>
    <mergeCell ref="L60:L61"/>
    <mergeCell ref="H58:H59"/>
    <mergeCell ref="I58:I59"/>
    <mergeCell ref="J58:J59"/>
    <mergeCell ref="K58:K59"/>
    <mergeCell ref="L58:L59"/>
    <mergeCell ref="M58:M59"/>
    <mergeCell ref="M60:M6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N70"/>
  <sheetViews>
    <sheetView zoomScaleNormal="100" workbookViewId="0"/>
  </sheetViews>
  <sheetFormatPr baseColWidth="10" defaultRowHeight="12.5" x14ac:dyDescent="0.25"/>
  <cols>
    <col min="1" max="1" width="42" customWidth="1"/>
    <col min="9" max="9" width="43" bestFit="1" customWidth="1"/>
    <col min="10" max="10" width="11.453125" bestFit="1" customWidth="1"/>
    <col min="11" max="13" width="9.453125" customWidth="1"/>
  </cols>
  <sheetData>
    <row r="1" spans="1:10" ht="13" x14ac:dyDescent="0.3">
      <c r="A1" s="54" t="s">
        <v>2</v>
      </c>
      <c r="B1" s="297">
        <f>'%charges'!B1</f>
        <v>2021</v>
      </c>
      <c r="C1" s="297">
        <f>'%charges'!C1</f>
        <v>2022</v>
      </c>
      <c r="D1" s="298" t="s">
        <v>29</v>
      </c>
      <c r="E1" s="54" t="s">
        <v>67</v>
      </c>
      <c r="F1" s="54" t="s">
        <v>68</v>
      </c>
      <c r="I1" s="19" t="s">
        <v>2</v>
      </c>
      <c r="J1" s="19" t="s">
        <v>68</v>
      </c>
    </row>
    <row r="2" spans="1:10" x14ac:dyDescent="0.25">
      <c r="A2" s="124" t="s">
        <v>23</v>
      </c>
      <c r="B2" s="475">
        <f>'SA1'!B10</f>
        <v>5760.6775169400007</v>
      </c>
      <c r="C2" s="143">
        <f>'SA1'!C10</f>
        <v>5944.3958786200001</v>
      </c>
      <c r="D2" s="300">
        <f>C2/$C$11</f>
        <v>0.38296101441072272</v>
      </c>
      <c r="E2" s="417">
        <f t="shared" ref="E2:E11" si="0">C2/B2-1</f>
        <v>3.189179764702188E-2</v>
      </c>
      <c r="F2" s="301">
        <f t="shared" ref="F2:F11" si="1">(B2/$B$23)*E2*100</f>
        <v>1.2186278871292957</v>
      </c>
      <c r="H2" s="31"/>
      <c r="I2" s="418" t="s">
        <v>170</v>
      </c>
      <c r="J2" s="476">
        <f t="shared" ref="J2:J10" si="2">F2</f>
        <v>1.2186278871292957</v>
      </c>
    </row>
    <row r="3" spans="1:10" x14ac:dyDescent="0.25">
      <c r="A3" s="124" t="s">
        <v>28</v>
      </c>
      <c r="B3" s="475">
        <f>'COMPTES SA (Chiffres utiles)'!Q18</f>
        <v>984.03851841999995</v>
      </c>
      <c r="C3" s="143">
        <f>'COMPTES SA (Chiffres utiles)'!R18</f>
        <v>1078.72517984</v>
      </c>
      <c r="D3" s="300">
        <f>C3/$C$11</f>
        <v>6.9495655669187986E-2</v>
      </c>
      <c r="E3" s="417">
        <f t="shared" si="0"/>
        <v>9.6222515325956604E-2</v>
      </c>
      <c r="F3" s="301">
        <f t="shared" si="1"/>
        <v>0.62806899152826345</v>
      </c>
      <c r="G3" s="31"/>
      <c r="H3" s="31"/>
      <c r="I3" s="418" t="s">
        <v>171</v>
      </c>
      <c r="J3" s="476">
        <f t="shared" si="2"/>
        <v>0.62806899152826345</v>
      </c>
    </row>
    <row r="4" spans="1:10" x14ac:dyDescent="0.25">
      <c r="A4" s="124" t="s">
        <v>27</v>
      </c>
      <c r="B4" s="475">
        <f>'SA1'!B16</f>
        <v>2556.185583</v>
      </c>
      <c r="C4" s="143">
        <f>'SA1'!C16</f>
        <v>2497</v>
      </c>
      <c r="D4" s="300">
        <f t="shared" ref="D4:D10" si="3">C4/$C$11</f>
        <v>0.16086641477276076</v>
      </c>
      <c r="E4" s="417">
        <f t="shared" si="0"/>
        <v>-2.3153867776117498E-2</v>
      </c>
      <c r="F4" s="301">
        <f t="shared" si="1"/>
        <v>-0.39258570183329405</v>
      </c>
      <c r="H4" s="31"/>
      <c r="I4" s="418" t="s">
        <v>172</v>
      </c>
      <c r="J4" s="476">
        <f t="shared" si="2"/>
        <v>-0.39258570183329405</v>
      </c>
    </row>
    <row r="5" spans="1:10" x14ac:dyDescent="0.25">
      <c r="A5" s="124" t="s">
        <v>74</v>
      </c>
      <c r="B5" s="475">
        <f>'COMPTES SA (Chiffres utiles)'!Q12</f>
        <v>484.50779326000003</v>
      </c>
      <c r="C5" s="143">
        <f>'COMPTES SA (Chiffres utiles)'!R12</f>
        <v>525.67262819000007</v>
      </c>
      <c r="D5" s="300">
        <f t="shared" si="3"/>
        <v>3.3865867457388787E-2</v>
      </c>
      <c r="E5" s="417">
        <f t="shared" si="0"/>
        <v>8.4962172957060877E-2</v>
      </c>
      <c r="F5" s="301">
        <f t="shared" si="1"/>
        <v>0.27305172632743696</v>
      </c>
      <c r="H5" s="31"/>
      <c r="I5" s="418" t="s">
        <v>173</v>
      </c>
      <c r="J5" s="476">
        <f t="shared" si="2"/>
        <v>0.27305172632743696</v>
      </c>
    </row>
    <row r="6" spans="1:10" x14ac:dyDescent="0.25">
      <c r="A6" s="124" t="s">
        <v>53</v>
      </c>
      <c r="B6" s="475">
        <f>'COMPTES SA (Chiffres utiles)'!Q24</f>
        <v>12.11324235</v>
      </c>
      <c r="C6" s="143">
        <f>'COMPTES SA (Chiffres utiles)'!R24</f>
        <v>11.665937100000001</v>
      </c>
      <c r="D6" s="300">
        <f t="shared" si="3"/>
        <v>7.5156486833862152E-4</v>
      </c>
      <c r="E6" s="417">
        <f t="shared" si="0"/>
        <v>-3.6926962829237797E-2</v>
      </c>
      <c r="F6" s="301">
        <f t="shared" si="1"/>
        <v>-2.9670341425033736E-3</v>
      </c>
      <c r="H6" s="31"/>
      <c r="I6" s="418" t="s">
        <v>174</v>
      </c>
      <c r="J6" s="476">
        <f t="shared" si="2"/>
        <v>-2.9670341425033736E-3</v>
      </c>
    </row>
    <row r="7" spans="1:10" x14ac:dyDescent="0.25">
      <c r="A7" s="124" t="s">
        <v>75</v>
      </c>
      <c r="B7" s="475">
        <f>'SA1'!B38</f>
        <v>409.50440794000002</v>
      </c>
      <c r="C7" s="143">
        <f>'SA1'!C38</f>
        <v>405.46763747999995</v>
      </c>
      <c r="D7" s="300">
        <f t="shared" si="3"/>
        <v>2.6121796214573115E-2</v>
      </c>
      <c r="E7" s="417">
        <f>C7/B7-1</f>
        <v>-9.8576972108967986E-3</v>
      </c>
      <c r="F7" s="301">
        <f>(B7/$B$23)*E7*100</f>
        <v>-2.6776425674121463E-2</v>
      </c>
      <c r="H7" s="31"/>
      <c r="I7" s="418" t="s">
        <v>175</v>
      </c>
      <c r="J7" s="476">
        <f t="shared" si="2"/>
        <v>-2.6776425674121463E-2</v>
      </c>
    </row>
    <row r="8" spans="1:10" x14ac:dyDescent="0.25">
      <c r="A8" s="124" t="s">
        <v>76</v>
      </c>
      <c r="B8" s="475">
        <f>SUM('SA1'!B30:B34)</f>
        <v>762.40505775999998</v>
      </c>
      <c r="C8" s="143">
        <f>SUM('SA1'!C30:C34)</f>
        <v>797.15802829000006</v>
      </c>
      <c r="D8" s="300">
        <f t="shared" si="3"/>
        <v>5.1356008817915619E-2</v>
      </c>
      <c r="E8" s="417">
        <f>C8/B8-1</f>
        <v>4.5583342051936038E-2</v>
      </c>
      <c r="F8" s="301">
        <f t="shared" si="1"/>
        <v>0.23052099235572168</v>
      </c>
      <c r="G8" s="296"/>
      <c r="H8" s="31"/>
      <c r="I8" s="418" t="s">
        <v>176</v>
      </c>
      <c r="J8" s="476">
        <f t="shared" si="2"/>
        <v>0.23052099235572168</v>
      </c>
    </row>
    <row r="9" spans="1:10" x14ac:dyDescent="0.25">
      <c r="A9" s="448" t="s">
        <v>25</v>
      </c>
      <c r="B9" s="449">
        <f>SUM('SA1'!B40:B43)</f>
        <v>2808.8809290999998</v>
      </c>
      <c r="C9" s="477">
        <f>SUM('SA1'!C40:C43)</f>
        <v>2789.0717050599997</v>
      </c>
      <c r="D9" s="450">
        <f>C9/$C$11</f>
        <v>0.17968280566165518</v>
      </c>
      <c r="E9" s="451">
        <f t="shared" si="0"/>
        <v>-7.0523544927720838E-3</v>
      </c>
      <c r="F9" s="452">
        <f t="shared" si="1"/>
        <v>-0.13139717019458044</v>
      </c>
      <c r="H9" s="31"/>
      <c r="I9" s="418" t="s">
        <v>177</v>
      </c>
      <c r="J9" s="476">
        <f t="shared" si="2"/>
        <v>-0.13139717019458044</v>
      </c>
    </row>
    <row r="10" spans="1:10" x14ac:dyDescent="0.25">
      <c r="A10" s="142" t="s">
        <v>24</v>
      </c>
      <c r="B10" s="299">
        <f>B11-SUM(B2:B9)</f>
        <v>1297.5245896400011</v>
      </c>
      <c r="C10" s="143">
        <f>C11-SUM(C2:C9)</f>
        <v>1473.0388815899987</v>
      </c>
      <c r="D10" s="300">
        <f t="shared" si="3"/>
        <v>9.4898872127457096E-2</v>
      </c>
      <c r="E10" s="417">
        <f t="shared" si="0"/>
        <v>0.13526856704788481</v>
      </c>
      <c r="F10" s="301">
        <f t="shared" si="1"/>
        <v>1.1642092211369066</v>
      </c>
      <c r="G10" s="278"/>
      <c r="H10" s="31"/>
      <c r="I10" s="418" t="s">
        <v>178</v>
      </c>
      <c r="J10" s="476">
        <f t="shared" si="2"/>
        <v>1.1642092211369066</v>
      </c>
    </row>
    <row r="11" spans="1:10" ht="13" x14ac:dyDescent="0.3">
      <c r="A11" s="302" t="s">
        <v>30</v>
      </c>
      <c r="B11" s="303">
        <f>'SA1'!B9</f>
        <v>15075.837638410001</v>
      </c>
      <c r="C11" s="478">
        <f>'SA1'!C9</f>
        <v>15522.195876170001</v>
      </c>
      <c r="D11" s="304">
        <f>SUM(D2:D10)</f>
        <v>0.99999999999999978</v>
      </c>
      <c r="E11" s="305">
        <f t="shared" si="0"/>
        <v>2.9607524866331447E-2</v>
      </c>
      <c r="F11" s="306">
        <f t="shared" si="1"/>
        <v>2.9607524866331443</v>
      </c>
      <c r="H11" s="31"/>
    </row>
    <row r="12" spans="1:10" x14ac:dyDescent="0.25">
      <c r="B12" s="243">
        <f>'COMPTES SA (Chiffres utiles)'!Q66</f>
        <v>15075.837638410001</v>
      </c>
      <c r="C12" s="479">
        <f>'COMPTES SA (Chiffres utiles)'!R66</f>
        <v>15522.195876170001</v>
      </c>
    </row>
    <row r="15" spans="1:10" ht="13" x14ac:dyDescent="0.3">
      <c r="A15" s="273" t="s">
        <v>2</v>
      </c>
      <c r="B15" s="19">
        <f>B1</f>
        <v>2021</v>
      </c>
      <c r="C15" s="273">
        <f>C1</f>
        <v>2022</v>
      </c>
      <c r="D15" s="184" t="s">
        <v>29</v>
      </c>
      <c r="E15" s="270" t="s">
        <v>67</v>
      </c>
      <c r="F15" s="271" t="s">
        <v>68</v>
      </c>
    </row>
    <row r="16" spans="1:10" x14ac:dyDescent="0.25">
      <c r="A16" s="275" t="s">
        <v>23</v>
      </c>
      <c r="B16" s="35">
        <f>B2</f>
        <v>5760.6775169400007</v>
      </c>
      <c r="C16" s="267">
        <f>C2</f>
        <v>5944.3958786200001</v>
      </c>
      <c r="D16" s="186">
        <f>D2</f>
        <v>0.38296101441072272</v>
      </c>
      <c r="E16" s="272">
        <f t="shared" ref="E16:E23" si="4">C16/B16-1</f>
        <v>3.189179764702188E-2</v>
      </c>
      <c r="F16" s="307">
        <f t="shared" ref="F16:F23" si="5">(B16/$B$23)*E16*100</f>
        <v>1.2186278871292957</v>
      </c>
    </row>
    <row r="17" spans="1:6" x14ac:dyDescent="0.25">
      <c r="A17" s="275" t="s">
        <v>27</v>
      </c>
      <c r="B17" s="35">
        <f>B4</f>
        <v>2556.185583</v>
      </c>
      <c r="C17" s="267">
        <f>C4</f>
        <v>2497</v>
      </c>
      <c r="D17" s="186">
        <f>D4</f>
        <v>0.16086641477276076</v>
      </c>
      <c r="E17" s="272">
        <f t="shared" si="4"/>
        <v>-2.3153867776117498E-2</v>
      </c>
      <c r="F17" s="307">
        <f t="shared" si="5"/>
        <v>-0.39258570183329405</v>
      </c>
    </row>
    <row r="18" spans="1:6" x14ac:dyDescent="0.25">
      <c r="A18" s="442" t="s">
        <v>134</v>
      </c>
      <c r="B18" s="443">
        <f>B9</f>
        <v>2808.8809290999998</v>
      </c>
      <c r="C18" s="444">
        <f>C9</f>
        <v>2789.0717050599997</v>
      </c>
      <c r="D18" s="445">
        <f>D9</f>
        <v>0.17968280566165518</v>
      </c>
      <c r="E18" s="446">
        <f t="shared" si="4"/>
        <v>-7.0523544927720838E-3</v>
      </c>
      <c r="F18" s="447">
        <f t="shared" si="5"/>
        <v>-0.13139717019458044</v>
      </c>
    </row>
    <row r="19" spans="1:6" x14ac:dyDescent="0.25">
      <c r="A19" s="310" t="s">
        <v>133</v>
      </c>
      <c r="B19" s="35">
        <f>B3</f>
        <v>984.03851841999995</v>
      </c>
      <c r="C19" s="267">
        <f>C3</f>
        <v>1078.72517984</v>
      </c>
      <c r="D19" s="186">
        <f>D3</f>
        <v>6.9495655669187986E-2</v>
      </c>
      <c r="E19" s="272">
        <f t="shared" si="4"/>
        <v>9.6222515325956604E-2</v>
      </c>
      <c r="F19" s="307">
        <f t="shared" si="5"/>
        <v>0.62806899152826345</v>
      </c>
    </row>
    <row r="20" spans="1:6" x14ac:dyDescent="0.25">
      <c r="A20" s="283" t="s">
        <v>183</v>
      </c>
      <c r="B20" s="198">
        <f>B10+B6</f>
        <v>1309.6378319900011</v>
      </c>
      <c r="C20" s="267">
        <f>C10 +C6</f>
        <v>1484.7048186899988</v>
      </c>
      <c r="D20" s="199">
        <f>D10</f>
        <v>9.4898872127457096E-2</v>
      </c>
      <c r="E20" s="272">
        <f t="shared" si="4"/>
        <v>0.13367587773024425</v>
      </c>
      <c r="F20" s="308">
        <f t="shared" si="5"/>
        <v>1.1612421869944023</v>
      </c>
    </row>
    <row r="21" spans="1:6" x14ac:dyDescent="0.25">
      <c r="A21" s="275" t="s">
        <v>151</v>
      </c>
      <c r="B21" s="35">
        <f>B7+B8</f>
        <v>1171.9094657000001</v>
      </c>
      <c r="C21" s="267">
        <f>C7+C8</f>
        <v>1202.6256657700001</v>
      </c>
      <c r="D21" s="186">
        <f>D7+D8</f>
        <v>7.7477805032488731E-2</v>
      </c>
      <c r="E21" s="272">
        <f t="shared" si="4"/>
        <v>2.6210386526447804E-2</v>
      </c>
      <c r="F21" s="307">
        <f t="shared" si="5"/>
        <v>0.20374456668159935</v>
      </c>
    </row>
    <row r="22" spans="1:6" x14ac:dyDescent="0.25">
      <c r="A22" s="274" t="s">
        <v>131</v>
      </c>
      <c r="B22" s="198">
        <f>B5</f>
        <v>484.50779326000003</v>
      </c>
      <c r="C22" s="267">
        <f>C5</f>
        <v>525.67262819000007</v>
      </c>
      <c r="D22" s="199">
        <f>D5+D6</f>
        <v>3.4617432325727407E-2</v>
      </c>
      <c r="E22" s="272">
        <f t="shared" si="4"/>
        <v>8.4962172957060877E-2</v>
      </c>
      <c r="F22" s="308">
        <f t="shared" si="5"/>
        <v>0.27305172632743696</v>
      </c>
    </row>
    <row r="23" spans="1:6" ht="13" x14ac:dyDescent="0.3">
      <c r="A23" s="311" t="s">
        <v>30</v>
      </c>
      <c r="B23" s="176">
        <f>SUM(B16:B22)</f>
        <v>15075.837638410003</v>
      </c>
      <c r="C23" s="367">
        <f>SUM(C16:C22)</f>
        <v>15522.195876169997</v>
      </c>
      <c r="D23" s="177">
        <f>SUM(D16:D22)</f>
        <v>0.99999999999999989</v>
      </c>
      <c r="E23" s="366">
        <f t="shared" si="4"/>
        <v>2.9607524866331003E-2</v>
      </c>
      <c r="F23" s="309">
        <f t="shared" si="5"/>
        <v>2.9607524866331003</v>
      </c>
    </row>
    <row r="24" spans="1:6" x14ac:dyDescent="0.25">
      <c r="B24" s="243"/>
      <c r="C24" s="243"/>
    </row>
    <row r="25" spans="1:6" x14ac:dyDescent="0.25">
      <c r="A25" s="313"/>
      <c r="C25" s="179"/>
    </row>
    <row r="53" spans="1:6" x14ac:dyDescent="0.25">
      <c r="A53" s="313"/>
    </row>
    <row r="54" spans="1:6" ht="13.5" thickBot="1" x14ac:dyDescent="0.35">
      <c r="A54" s="19" t="s">
        <v>2</v>
      </c>
      <c r="B54" s="19">
        <f>B15</f>
        <v>2021</v>
      </c>
      <c r="C54" s="19">
        <f>C15</f>
        <v>2022</v>
      </c>
      <c r="D54" s="184" t="s">
        <v>29</v>
      </c>
      <c r="E54" s="19" t="s">
        <v>67</v>
      </c>
      <c r="F54" s="19" t="s">
        <v>68</v>
      </c>
    </row>
    <row r="55" spans="1:6" x14ac:dyDescent="0.25">
      <c r="A55" s="258" t="s">
        <v>118</v>
      </c>
      <c r="B55" s="35">
        <f>'COMPTES SA (Chiffres utiles)'!Q6+'COMPTES SA (Chiffres utiles)'!Q13+'COMPTES SA (Chiffres utiles)'!Q19+'COMPTES SA (Chiffres utiles)'!Q25+'COMPTES SA (Chiffres utiles)'!Q37+'COMPTES SA (Chiffres utiles)'!Q43+'COMPTES SA (Chiffres utiles)'!Q49+'COMPTES SA (Chiffres utiles)'!Q55+'COMPTES SA (Chiffres utiles)'!Q61+'COMPTES SA (Chiffres utiles)'!Q31</f>
        <v>5880.6084375600003</v>
      </c>
      <c r="C55" s="405">
        <f>'COMPTES SA (Chiffres utiles)'!R6+'COMPTES SA (Chiffres utiles)'!R13+'COMPTES SA (Chiffres utiles)'!R19+'COMPTES SA (Chiffres utiles)'!R25+'COMPTES SA (Chiffres utiles)'!R37+'COMPTES SA (Chiffres utiles)'!R43+'COMPTES SA (Chiffres utiles)'!R49+'COMPTES SA (Chiffres utiles)'!R55+'COMPTES SA (Chiffres utiles)'!R61+'COMPTES SA (Chiffres utiles)'!R31</f>
        <v>6106.6009445300006</v>
      </c>
      <c r="D55" s="186">
        <f>C55/$C$60</f>
        <v>0.39341089322967387</v>
      </c>
      <c r="E55" s="409">
        <f>C55/B55-1</f>
        <v>3.843012323802486E-2</v>
      </c>
      <c r="F55" s="438">
        <f>(B55/$B$60)*E55*100</f>
        <v>1.4990378139534959</v>
      </c>
    </row>
    <row r="56" spans="1:6" x14ac:dyDescent="0.25">
      <c r="A56" s="34" t="s">
        <v>87</v>
      </c>
      <c r="B56" s="35">
        <f>'COMPTES SA (Chiffres utiles)'!Q8+'COMPTES SA (Chiffres utiles)'!Q15+'COMPTES SA (Chiffres utiles)'!Q21+'COMPTES SA (Chiffres utiles)'!Q27+'COMPTES SA (Chiffres utiles)'!Q39+'COMPTES SA (Chiffres utiles)'!Q45+'COMPTES SA (Chiffres utiles)'!Q51+'COMPTES SA (Chiffres utiles)'!Q57+'COMPTES SA (Chiffres utiles)'!Q63</f>
        <v>756.70264492000001</v>
      </c>
      <c r="C56" s="406">
        <f>'COMPTES SA (Chiffres utiles)'!R8+'COMPTES SA (Chiffres utiles)'!R15+'COMPTES SA (Chiffres utiles)'!R21+'COMPTES SA (Chiffres utiles)'!R27+'COMPTES SA (Chiffres utiles)'!R39+'COMPTES SA (Chiffres utiles)'!R45+'COMPTES SA (Chiffres utiles)'!R51+'COMPTES SA (Chiffres utiles)'!R57+'COMPTES SA (Chiffres utiles)'!R63</f>
        <v>800.57428067000001</v>
      </c>
      <c r="D56" s="186">
        <f t="shared" ref="D56:D60" si="6">C56/$C$60</f>
        <v>5.1576097032705173E-2</v>
      </c>
      <c r="E56" s="410">
        <f t="shared" ref="E56:E60" si="7">C56/B56-1</f>
        <v>5.7977378623591536E-2</v>
      </c>
      <c r="F56" s="439">
        <f t="shared" ref="F56:F60" si="8">(B56/$B$60)*E56*100</f>
        <v>0.29100628968187126</v>
      </c>
    </row>
    <row r="57" spans="1:6" x14ac:dyDescent="0.25">
      <c r="A57" s="34" t="s">
        <v>85</v>
      </c>
      <c r="B57" s="35">
        <f>'COMPTES SA (Chiffres utiles)'!Q7+'COMPTES SA (Chiffres utiles)'!Q14+'COMPTES SA (Chiffres utiles)'!Q20+'COMPTES SA (Chiffres utiles)'!Q26+'COMPTES SA (Chiffres utiles)'!Q38+'COMPTES SA (Chiffres utiles)'!Q44+'COMPTES SA (Chiffres utiles)'!Q50+'COMPTES SA (Chiffres utiles)'!Q56+'COMPTES SA (Chiffres utiles)'!Q62+'COMPTES SA (Chiffres utiles)'!Q32</f>
        <v>953.31687942999986</v>
      </c>
      <c r="C57" s="406">
        <f>'COMPTES SA (Chiffres utiles)'!R7+'COMPTES SA (Chiffres utiles)'!R14+'COMPTES SA (Chiffres utiles)'!R20+'COMPTES SA (Chiffres utiles)'!R26+'COMPTES SA (Chiffres utiles)'!R38+'COMPTES SA (Chiffres utiles)'!R44+'COMPTES SA (Chiffres utiles)'!R50+'COMPTES SA (Chiffres utiles)'!R56+'COMPTES SA (Chiffres utiles)'!R62+'COMPTES SA (Chiffres utiles)'!R32</f>
        <v>1023.5135885699999</v>
      </c>
      <c r="D57" s="186">
        <f t="shared" si="6"/>
        <v>6.5938711039030207E-2</v>
      </c>
      <c r="E57" s="410">
        <f t="shared" si="7"/>
        <v>7.3634182562645423E-2</v>
      </c>
      <c r="F57" s="439">
        <f t="shared" si="8"/>
        <v>0.46562393960222737</v>
      </c>
    </row>
    <row r="58" spans="1:6" x14ac:dyDescent="0.25">
      <c r="A58" s="197" t="s">
        <v>86</v>
      </c>
      <c r="B58" s="198">
        <f>'COMPTES SA (Chiffres utiles)'!Q9+'COMPTES SA (Chiffres utiles)'!Q16+'COMPTES SA (Chiffres utiles)'!Q22+'COMPTES SA (Chiffres utiles)'!Q28+'COMPTES SA (Chiffres utiles)'!Q40+'COMPTES SA (Chiffres utiles)'!Q46+'COMPTES SA (Chiffres utiles)'!Q52+'COMPTES SA (Chiffres utiles)'!Q58+'COMPTES SA (Chiffres utiles)'!Q64</f>
        <v>6805.3324983500006</v>
      </c>
      <c r="C58" s="407">
        <f>'COMPTES SA (Chiffres utiles)'!R9+'COMPTES SA (Chiffres utiles)'!R16+'COMPTES SA (Chiffres utiles)'!R22+'COMPTES SA (Chiffres utiles)'!R28+'COMPTES SA (Chiffres utiles)'!R40+'COMPTES SA (Chiffres utiles)'!R46+'COMPTES SA (Chiffres utiles)'!R52+'COMPTES SA (Chiffres utiles)'!R58+'COMPTES SA (Chiffres utiles)'!R64</f>
        <v>6893.7466213700009</v>
      </c>
      <c r="D58" s="199">
        <f t="shared" si="6"/>
        <v>0.44412186757373839</v>
      </c>
      <c r="E58" s="411">
        <f t="shared" si="7"/>
        <v>1.2991888793300932E-2</v>
      </c>
      <c r="F58" s="440">
        <f t="shared" si="8"/>
        <v>0.58646242511089253</v>
      </c>
    </row>
    <row r="59" spans="1:6" x14ac:dyDescent="0.25">
      <c r="A59" s="197" t="s">
        <v>144</v>
      </c>
      <c r="B59" s="198">
        <f>'COMPTES SA (Chiffres utiles)'!Q65+'COMPTES SA (Chiffres utiles)'!Q41</f>
        <v>679.87717814999996</v>
      </c>
      <c r="C59" s="407">
        <f>'COMPTES SA (Chiffres utiles)'!R41+'COMPTES SA (Chiffres utiles)'!R65</f>
        <v>697.76044103000004</v>
      </c>
      <c r="D59" s="199">
        <f t="shared" si="6"/>
        <v>4.4952431124852407E-2</v>
      </c>
      <c r="E59" s="411">
        <f t="shared" si="7"/>
        <v>2.6303666978000129E-2</v>
      </c>
      <c r="F59" s="440">
        <f t="shared" si="8"/>
        <v>0.11862201828465802</v>
      </c>
    </row>
    <row r="60" spans="1:6" ht="13.5" thickBot="1" x14ac:dyDescent="0.35">
      <c r="A60" s="19" t="s">
        <v>129</v>
      </c>
      <c r="B60" s="259">
        <f>SUM(B55:B59)</f>
        <v>15075.837638410001</v>
      </c>
      <c r="C60" s="436">
        <f>SUM(C55:C59)</f>
        <v>15522.195876170001</v>
      </c>
      <c r="D60" s="260">
        <f t="shared" si="6"/>
        <v>1</v>
      </c>
      <c r="E60" s="437">
        <f t="shared" si="7"/>
        <v>2.9607524866331447E-2</v>
      </c>
      <c r="F60" s="441">
        <f t="shared" si="8"/>
        <v>2.9607524866331447</v>
      </c>
    </row>
    <row r="66" spans="9:14" x14ac:dyDescent="0.25">
      <c r="I66" s="262"/>
      <c r="J66" s="419" t="s">
        <v>118</v>
      </c>
      <c r="K66" s="419" t="s">
        <v>119</v>
      </c>
      <c r="L66" s="419" t="s">
        <v>85</v>
      </c>
      <c r="M66" s="419" t="s">
        <v>86</v>
      </c>
      <c r="N66" s="419" t="s">
        <v>144</v>
      </c>
    </row>
    <row r="67" spans="9:14" x14ac:dyDescent="0.25">
      <c r="I67" s="520" t="s">
        <v>168</v>
      </c>
      <c r="J67" s="522">
        <f>E55</f>
        <v>3.843012323802486E-2</v>
      </c>
      <c r="K67" s="522">
        <f>E56</f>
        <v>5.7977378623591536E-2</v>
      </c>
      <c r="L67" s="522">
        <f>E57</f>
        <v>7.3634182562645423E-2</v>
      </c>
      <c r="M67" s="522">
        <f>E58</f>
        <v>1.2991888793300932E-2</v>
      </c>
      <c r="N67" s="522">
        <f>E59</f>
        <v>2.6303666978000129E-2</v>
      </c>
    </row>
    <row r="68" spans="9:14" x14ac:dyDescent="0.25">
      <c r="I68" s="520"/>
      <c r="J68" s="522"/>
      <c r="K68" s="522"/>
      <c r="L68" s="522"/>
      <c r="M68" s="522"/>
      <c r="N68" s="522"/>
    </row>
    <row r="69" spans="9:14" x14ac:dyDescent="0.25">
      <c r="I69" s="520" t="s">
        <v>169</v>
      </c>
      <c r="J69" s="521">
        <f>F55</f>
        <v>1.4990378139534959</v>
      </c>
      <c r="K69" s="521">
        <f>F56</f>
        <v>0.29100628968187126</v>
      </c>
      <c r="L69" s="521">
        <f>F57</f>
        <v>0.46562393960222737</v>
      </c>
      <c r="M69" s="521">
        <f>F58</f>
        <v>0.58646242511089253</v>
      </c>
      <c r="N69" s="521">
        <f>F59</f>
        <v>0.11862201828465802</v>
      </c>
    </row>
    <row r="70" spans="9:14" x14ac:dyDescent="0.25">
      <c r="I70" s="520"/>
      <c r="J70" s="521"/>
      <c r="K70" s="521"/>
      <c r="L70" s="521"/>
      <c r="M70" s="521"/>
      <c r="N70" s="521"/>
    </row>
  </sheetData>
  <mergeCells count="12">
    <mergeCell ref="N67:N68"/>
    <mergeCell ref="N69:N70"/>
    <mergeCell ref="I69:I70"/>
    <mergeCell ref="J69:J70"/>
    <mergeCell ref="K69:K70"/>
    <mergeCell ref="L69:L70"/>
    <mergeCell ref="M69:M70"/>
    <mergeCell ref="I67:I68"/>
    <mergeCell ref="J67:J68"/>
    <mergeCell ref="K67:K68"/>
    <mergeCell ref="L67:L68"/>
    <mergeCell ref="M67:M68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7"/>
  <sheetViews>
    <sheetView zoomScaleNormal="100" workbookViewId="0"/>
  </sheetViews>
  <sheetFormatPr baseColWidth="10" defaultRowHeight="12.5" x14ac:dyDescent="0.25"/>
  <cols>
    <col min="1" max="1" width="42" customWidth="1"/>
    <col min="6" max="6" width="16.81640625" bestFit="1" customWidth="1"/>
    <col min="7" max="7" width="17" customWidth="1"/>
    <col min="8" max="8" width="17.26953125" customWidth="1"/>
    <col min="9" max="9" width="21.54296875" bestFit="1" customWidth="1"/>
    <col min="10" max="12" width="9.81640625" customWidth="1"/>
  </cols>
  <sheetData>
    <row r="1" spans="1:6" ht="13" x14ac:dyDescent="0.3">
      <c r="A1" s="19" t="s">
        <v>0</v>
      </c>
      <c r="B1" s="220">
        <f>'COMPTES SA (Chiffres utiles)'!D3</f>
        <v>2021</v>
      </c>
      <c r="C1" s="325">
        <f>'COMPTES SA (Chiffres utiles)'!E3</f>
        <v>2022</v>
      </c>
      <c r="D1" s="184" t="s">
        <v>29</v>
      </c>
      <c r="E1" s="314" t="s">
        <v>67</v>
      </c>
      <c r="F1" s="314" t="s">
        <v>68</v>
      </c>
    </row>
    <row r="2" spans="1:6" x14ac:dyDescent="0.25">
      <c r="A2" s="197" t="s">
        <v>20</v>
      </c>
      <c r="B2" s="198">
        <f>'SA1'!B4</f>
        <v>6205.3748425200001</v>
      </c>
      <c r="C2" s="318">
        <f>'SA1'!C4</f>
        <v>6489.6159428500005</v>
      </c>
      <c r="D2" s="199">
        <f t="shared" ref="D2:D8" si="0">C2/$C$9</f>
        <v>0.94137720738571518</v>
      </c>
      <c r="E2" s="327">
        <f>C2/B2-1</f>
        <v>4.5805629400877512E-2</v>
      </c>
      <c r="F2" s="321">
        <f t="shared" ref="F2:F9" si="1">(B2/$B$9)*E2*100</f>
        <v>4.1767408190403028</v>
      </c>
    </row>
    <row r="3" spans="1:6" x14ac:dyDescent="0.25">
      <c r="A3" s="197" t="s">
        <v>72</v>
      </c>
      <c r="B3" s="198">
        <f>'COMPTES SA (Chiffres utiles)'!D17+'COMPTES SA (Chiffres utiles)'!D23</f>
        <v>287.04045204000005</v>
      </c>
      <c r="C3" s="318">
        <f>'COMPTES SA (Chiffres utiles)'!E17+'COMPTES SA (Chiffres utiles)'!E23</f>
        <v>120.87609157999999</v>
      </c>
      <c r="D3" s="199">
        <f t="shared" si="0"/>
        <v>1.7534165123692661E-2</v>
      </c>
      <c r="E3" s="327">
        <f>C3/B3-1</f>
        <v>-0.57888830399711222</v>
      </c>
      <c r="F3" s="321">
        <f t="shared" si="1"/>
        <v>-2.4416787938030615</v>
      </c>
    </row>
    <row r="4" spans="1:6" x14ac:dyDescent="0.25">
      <c r="A4" s="34" t="s">
        <v>70</v>
      </c>
      <c r="B4" s="35">
        <f>'COMPTES SA (Chiffres utiles)'!D43</f>
        <v>193.21758862000001</v>
      </c>
      <c r="C4" s="319">
        <f>'COMPTES SA (Chiffres utiles)'!E43</f>
        <v>158.87089508</v>
      </c>
      <c r="D4" s="186">
        <f t="shared" si="0"/>
        <v>2.3045653373379632E-2</v>
      </c>
      <c r="E4" s="328">
        <f>C4/B4-1</f>
        <v>-0.17776173372885573</v>
      </c>
      <c r="F4" s="322">
        <f t="shared" si="1"/>
        <v>-0.50470265116844204</v>
      </c>
    </row>
    <row r="5" spans="1:6" x14ac:dyDescent="0.25">
      <c r="A5" s="34" t="s">
        <v>71</v>
      </c>
      <c r="B5" s="35">
        <f>'COMPTES SA (Chiffres utiles)'!D49</f>
        <v>111.07292199</v>
      </c>
      <c r="C5" s="319">
        <f>'COMPTES SA (Chiffres utiles)'!E49</f>
        <v>114.4501968</v>
      </c>
      <c r="D5" s="186">
        <f t="shared" si="0"/>
        <v>1.6602031244550616E-2</v>
      </c>
      <c r="E5" s="328">
        <f>C5/B5-1</f>
        <v>3.0405923869582407E-2</v>
      </c>
      <c r="F5" s="322">
        <f t="shared" si="1"/>
        <v>4.9626889072926977E-2</v>
      </c>
    </row>
    <row r="6" spans="1:6" x14ac:dyDescent="0.25">
      <c r="A6" t="s">
        <v>69</v>
      </c>
      <c r="B6" s="31">
        <f>'COMPTES SA (Chiffres utiles)'!D10-'SA1'!B4</f>
        <v>8.0421858500003509</v>
      </c>
      <c r="C6" s="326">
        <f>'COMPTES SA (Chiffres utiles)'!E10-'SA1'!C4</f>
        <v>9.7648492700000133</v>
      </c>
      <c r="D6" s="30">
        <f t="shared" si="0"/>
        <v>1.4164792827937496E-3</v>
      </c>
      <c r="E6" s="329">
        <f t="shared" ref="E6:E9" si="2">C6/B6-1</f>
        <v>0.21420338352409352</v>
      </c>
      <c r="F6" s="331">
        <f t="shared" si="1"/>
        <v>2.5313435021982165E-2</v>
      </c>
    </row>
    <row r="7" spans="1:6" x14ac:dyDescent="0.25">
      <c r="A7" t="s">
        <v>73</v>
      </c>
      <c r="B7" s="31">
        <f>'COMPTES SA (Chiffres utiles)'!D31</f>
        <v>0.14941246</v>
      </c>
      <c r="C7" s="326">
        <f>'COMPTES SA (Chiffres utiles)'!E31</f>
        <v>0.16864579000000002</v>
      </c>
      <c r="D7" s="30">
        <f t="shared" si="0"/>
        <v>2.4463589868129628E-5</v>
      </c>
      <c r="E7" s="329">
        <f t="shared" si="2"/>
        <v>0.12872641277708707</v>
      </c>
      <c r="F7" s="331">
        <f t="shared" si="1"/>
        <v>2.8262145904940368E-4</v>
      </c>
    </row>
    <row r="8" spans="1:6" x14ac:dyDescent="0.25">
      <c r="A8" t="s">
        <v>21</v>
      </c>
      <c r="B8" s="31">
        <f>'COMPTES SA (Chiffres utiles)'!D37</f>
        <v>0.43509486999999997</v>
      </c>
      <c r="C8" s="326">
        <f>'COMPTES SA (Chiffres utiles)'!E37</f>
        <v>0</v>
      </c>
      <c r="D8" s="30">
        <f t="shared" si="0"/>
        <v>0</v>
      </c>
      <c r="E8" s="329">
        <f t="shared" si="2"/>
        <v>-1</v>
      </c>
      <c r="F8" s="331">
        <f t="shared" si="1"/>
        <v>-6.3934402926747753E-3</v>
      </c>
    </row>
    <row r="9" spans="1:6" ht="13" x14ac:dyDescent="0.3">
      <c r="A9" s="19" t="s">
        <v>22</v>
      </c>
      <c r="B9" s="176">
        <f>SUM(B2:B8)</f>
        <v>6805.3324983500015</v>
      </c>
      <c r="C9" s="320">
        <f>SUM(C2:C8)</f>
        <v>6893.7466213700009</v>
      </c>
      <c r="D9" s="177">
        <f>SUM(D2:D8)</f>
        <v>1</v>
      </c>
      <c r="E9" s="330">
        <f t="shared" si="2"/>
        <v>1.2991888793300932E-2</v>
      </c>
      <c r="F9" s="323">
        <f t="shared" si="1"/>
        <v>1.2991888793300932</v>
      </c>
    </row>
    <row r="10" spans="1:6" x14ac:dyDescent="0.25">
      <c r="A10" s="312"/>
      <c r="B10" s="243">
        <f>'COMPTES SA (Chiffres utiles)'!D10+'COMPTES SA (Chiffres utiles)'!D17+'COMPTES SA (Chiffres utiles)'!D23+'COMPTES SA (Chiffres utiles)'!D31+'COMPTES SA (Chiffres utiles)'!D37+'COMPTES SA (Chiffres utiles)'!D43+'COMPTES SA (Chiffres utiles)'!D49</f>
        <v>6805.3324983500024</v>
      </c>
      <c r="C10" s="243">
        <f>'COMPTES SA (Chiffres utiles)'!E10+'COMPTES SA (Chiffres utiles)'!E17+'COMPTES SA (Chiffres utiles)'!E23+'COMPTES SA (Chiffres utiles)'!E31+'COMPTES SA (Chiffres utiles)'!E37+'COMPTES SA (Chiffres utiles)'!E43+'COMPTES SA (Chiffres utiles)'!E49</f>
        <v>6893.7466213700009</v>
      </c>
    </row>
    <row r="11" spans="1:6" ht="13" x14ac:dyDescent="0.3">
      <c r="A11" s="169" t="s">
        <v>179</v>
      </c>
      <c r="C11" s="470">
        <f>(C7+C8)/(B7+B8)-1</f>
        <v>-0.71147360974925666</v>
      </c>
    </row>
    <row r="14" spans="1:6" x14ac:dyDescent="0.25">
      <c r="B14" s="31"/>
      <c r="C14" s="31"/>
      <c r="D14" s="30"/>
      <c r="E14" s="30"/>
      <c r="F14" s="3"/>
    </row>
    <row r="15" spans="1:6" x14ac:dyDescent="0.25">
      <c r="B15" s="31"/>
      <c r="C15" s="31"/>
      <c r="D15" s="30"/>
      <c r="E15" s="30"/>
      <c r="F15" s="3"/>
    </row>
    <row r="16" spans="1:6" x14ac:dyDescent="0.25">
      <c r="B16" s="31"/>
      <c r="C16" s="31"/>
      <c r="D16" s="30"/>
      <c r="E16" s="30"/>
      <c r="F16" s="3"/>
    </row>
    <row r="17" spans="1:6" x14ac:dyDescent="0.25">
      <c r="B17" s="31"/>
      <c r="C17" s="31"/>
      <c r="D17" s="30"/>
      <c r="E17" s="30"/>
      <c r="F17" s="3"/>
    </row>
    <row r="18" spans="1:6" x14ac:dyDescent="0.25">
      <c r="A18" s="34"/>
      <c r="B18" s="31"/>
      <c r="C18" s="31"/>
      <c r="D18" s="30"/>
      <c r="E18" s="30"/>
      <c r="F18" s="3"/>
    </row>
    <row r="19" spans="1:6" x14ac:dyDescent="0.25">
      <c r="A19" s="34"/>
      <c r="B19" s="31"/>
      <c r="C19" s="31"/>
      <c r="D19" s="30"/>
      <c r="E19" s="30"/>
      <c r="F19" s="3"/>
    </row>
    <row r="20" spans="1:6" x14ac:dyDescent="0.25">
      <c r="A20" s="34"/>
      <c r="B20" s="31"/>
      <c r="C20" s="31"/>
      <c r="D20" s="30"/>
      <c r="E20" s="30"/>
      <c r="F20" s="3"/>
    </row>
    <row r="21" spans="1:6" ht="13" x14ac:dyDescent="0.3">
      <c r="A21" s="175"/>
      <c r="B21" s="176"/>
      <c r="C21" s="176"/>
      <c r="D21" s="177"/>
      <c r="E21" s="177"/>
      <c r="F21" s="178"/>
    </row>
    <row r="23" spans="1:6" x14ac:dyDescent="0.25">
      <c r="C23" s="179"/>
    </row>
    <row r="32" spans="1:6" x14ac:dyDescent="0.25">
      <c r="A32" s="312" t="s">
        <v>132</v>
      </c>
    </row>
    <row r="33" spans="1:11" ht="13" x14ac:dyDescent="0.3">
      <c r="A33" s="19" t="s">
        <v>0</v>
      </c>
      <c r="B33" s="19">
        <f>'%charges'!B36</f>
        <v>2020</v>
      </c>
      <c r="C33" s="19">
        <f>B1</f>
        <v>2021</v>
      </c>
      <c r="D33" s="314">
        <f>C1</f>
        <v>2022</v>
      </c>
      <c r="E33" s="184" t="s">
        <v>29</v>
      </c>
      <c r="F33" s="19" t="str">
        <f>'%charges'!F36</f>
        <v>Evol 2021/2020</v>
      </c>
      <c r="G33" s="314" t="str">
        <f>'%charges'!G36</f>
        <v>Evol 2022/2021</v>
      </c>
      <c r="H33" s="314" t="str">
        <f>'%charges'!H36</f>
        <v>Contri croiss 2022</v>
      </c>
      <c r="I33" s="19" t="str">
        <f>'%charges'!I36</f>
        <v>Contri croiss 2021</v>
      </c>
    </row>
    <row r="34" spans="1:11" x14ac:dyDescent="0.25">
      <c r="A34" s="257" t="s">
        <v>118</v>
      </c>
      <c r="B34" s="198">
        <f>'COMPTES SA (Chiffres utiles)'!C7+'COMPTES SA (Chiffres utiles)'!C14+'COMPTES SA (Chiffres utiles)'!C20+'COMPTES SA (Chiffres utiles)'!C28+'COMPTES SA (Chiffres utiles)'!C34+'COMPTES SA (Chiffres utiles)'!C40+'COMPTES SA (Chiffres utiles)'!C46</f>
        <v>6860.9779221400004</v>
      </c>
      <c r="C34" s="198">
        <f>'COMPTES SA (Chiffres utiles)'!D7+'COMPTES SA (Chiffres utiles)'!D14+'COMPTES SA (Chiffres utiles)'!D20+'COMPTES SA (Chiffres utiles)'!D28+'COMPTES SA (Chiffres utiles)'!D34+'COMPTES SA (Chiffres utiles)'!D40+'COMPTES SA (Chiffres utiles)'!D46</f>
        <v>5880.6084375599994</v>
      </c>
      <c r="D34" s="318">
        <f>'COMPTES SA (Chiffres utiles)'!E7+'COMPTES SA (Chiffres utiles)'!E14+'COMPTES SA (Chiffres utiles)'!E20+'COMPTES SA (Chiffres utiles)'!E28+'COMPTES SA (Chiffres utiles)'!E34+'COMPTES SA (Chiffres utiles)'!E40+'COMPTES SA (Chiffres utiles)'!E46</f>
        <v>6106.6009445300006</v>
      </c>
      <c r="E34" s="199">
        <f>D34/$D$39</f>
        <v>0.41359097055581262</v>
      </c>
      <c r="F34" s="199">
        <f>C34/B34-1</f>
        <v>-0.14289063391625301</v>
      </c>
      <c r="G34" s="315">
        <f>D34/C34-1</f>
        <v>3.8430123238025082E-2</v>
      </c>
      <c r="H34" s="321">
        <f t="shared" ref="H34:H39" si="3">(C34/$C$39)*G34*100</f>
        <v>1.5732215277713617</v>
      </c>
      <c r="I34" s="200">
        <f>(B34/$B$39)*F34*100</f>
        <v>-6.427109484369824</v>
      </c>
    </row>
    <row r="35" spans="1:11" x14ac:dyDescent="0.25">
      <c r="A35" s="34" t="s">
        <v>87</v>
      </c>
      <c r="B35" s="35">
        <f>'COMPTES SA (Chiffres utiles)'!C8+'COMPTES SA (Chiffres utiles)'!C15+'COMPTES SA (Chiffres utiles)'!C21+'COMPTES SA (Chiffres utiles)'!C29+'COMPTES SA (Chiffres utiles)'!C35+'COMPTES SA (Chiffres utiles)'!C41+'COMPTES SA (Chiffres utiles)'!C47</f>
        <v>702.02691303999995</v>
      </c>
      <c r="C35" s="35">
        <f>'COMPTES SA (Chiffres utiles)'!D8+'COMPTES SA (Chiffres utiles)'!D15+'COMPTES SA (Chiffres utiles)'!D21+'COMPTES SA (Chiffres utiles)'!D29+'COMPTES SA (Chiffres utiles)'!D35+'COMPTES SA (Chiffres utiles)'!D41+'COMPTES SA (Chiffres utiles)'!D47</f>
        <v>725.69352690000005</v>
      </c>
      <c r="D35" s="319">
        <f>'COMPTES SA (Chiffres utiles)'!E8+'COMPTES SA (Chiffres utiles)'!E15+'COMPTES SA (Chiffres utiles)'!E21+'COMPTES SA (Chiffres utiles)'!E29+'COMPTES SA (Chiffres utiles)'!E35+'COMPTES SA (Chiffres utiles)'!E41+'COMPTES SA (Chiffres utiles)'!E47</f>
        <v>740.97023516000002</v>
      </c>
      <c r="E35" s="186">
        <f>D35/$D$39</f>
        <v>5.0184808455070902E-2</v>
      </c>
      <c r="F35" s="186">
        <f t="shared" ref="F35:G39" si="4">C35/B35-1</f>
        <v>3.3711832723785751E-2</v>
      </c>
      <c r="G35" s="316">
        <f t="shared" si="4"/>
        <v>2.1051184410116885E-2</v>
      </c>
      <c r="H35" s="322">
        <f t="shared" si="3"/>
        <v>0.10634709367291072</v>
      </c>
      <c r="I35" s="222">
        <f t="shared" ref="I35:I39" si="5">(B35/$B$39)*F35*100</f>
        <v>0.15515366481208842</v>
      </c>
    </row>
    <row r="36" spans="1:11" x14ac:dyDescent="0.25">
      <c r="A36" s="34" t="s">
        <v>85</v>
      </c>
      <c r="B36" s="35">
        <f>'COMPTES SA (Chiffres utiles)'!C9+'COMPTES SA (Chiffres utiles)'!C16+'COMPTES SA (Chiffres utiles)'!C22+'COMPTES SA (Chiffres utiles)'!C30+'COMPTES SA (Chiffres utiles)'!C36+'COMPTES SA (Chiffres utiles)'!C42+'COMPTES SA (Chiffres utiles)'!C48</f>
        <v>986.46949825000002</v>
      </c>
      <c r="C36" s="35">
        <f>'COMPTES SA (Chiffres utiles)'!D9+'COMPTES SA (Chiffres utiles)'!D16+'COMPTES SA (Chiffres utiles)'!D22+'COMPTES SA (Chiffres utiles)'!D30+'COMPTES SA (Chiffres utiles)'!D36+'COMPTES SA (Chiffres utiles)'!D42+'COMPTES SA (Chiffres utiles)'!D48</f>
        <v>953.31687942999997</v>
      </c>
      <c r="D36" s="319">
        <f>'COMPTES SA (Chiffres utiles)'!E9+'COMPTES SA (Chiffres utiles)'!E16+'COMPTES SA (Chiffres utiles)'!E22+'COMPTES SA (Chiffres utiles)'!E30+'COMPTES SA (Chiffres utiles)'!E36+'COMPTES SA (Chiffres utiles)'!E42+'COMPTES SA (Chiffres utiles)'!E48</f>
        <v>1023.51358857</v>
      </c>
      <c r="E36" s="186">
        <f>D36/$D$39</f>
        <v>6.9321048209792568E-2</v>
      </c>
      <c r="F36" s="186">
        <f t="shared" si="4"/>
        <v>-3.3607343033730808E-2</v>
      </c>
      <c r="G36" s="316">
        <f t="shared" si="4"/>
        <v>7.3634182562645423E-2</v>
      </c>
      <c r="H36" s="322">
        <f t="shared" si="3"/>
        <v>0.48866652916245745</v>
      </c>
      <c r="I36" s="200">
        <f t="shared" si="5"/>
        <v>-0.21734204725986894</v>
      </c>
    </row>
    <row r="37" spans="1:11" x14ac:dyDescent="0.25">
      <c r="A37" s="197" t="s">
        <v>86</v>
      </c>
      <c r="B37" s="198">
        <f>'COMPTES SA (Chiffres utiles)'!C10+'COMPTES SA (Chiffres utiles)'!C17+'COMPTES SA (Chiffres utiles)'!C23+'COMPTES SA (Chiffres utiles)'!C31+'COMPTES SA (Chiffres utiles)'!C37+'COMPTES SA (Chiffres utiles)'!C43+'COMPTES SA (Chiffres utiles)'!C49</f>
        <v>6704.1865379800029</v>
      </c>
      <c r="C37" s="198">
        <f>'COMPTES SA (Chiffres utiles)'!D10+'COMPTES SA (Chiffres utiles)'!D17+'COMPTES SA (Chiffres utiles)'!D23+'COMPTES SA (Chiffres utiles)'!D31+'COMPTES SA (Chiffres utiles)'!D37+'COMPTES SA (Chiffres utiles)'!D43+'COMPTES SA (Chiffres utiles)'!D49</f>
        <v>6805.3324983500024</v>
      </c>
      <c r="D37" s="318">
        <f>'COMPTES SA (Chiffres utiles)'!E10+'COMPTES SA (Chiffres utiles)'!E17+'COMPTES SA (Chiffres utiles)'!E23+'COMPTES SA (Chiffres utiles)'!E31+'COMPTES SA (Chiffres utiles)'!E37+'COMPTES SA (Chiffres utiles)'!E43+'COMPTES SA (Chiffres utiles)'!E49</f>
        <v>6893.7466213700009</v>
      </c>
      <c r="E37" s="199">
        <f>D37/$D$39</f>
        <v>0.46690317277932381</v>
      </c>
      <c r="F37" s="199">
        <f t="shared" si="4"/>
        <v>1.5086984796290448E-2</v>
      </c>
      <c r="G37" s="315">
        <f t="shared" si="4"/>
        <v>1.299188879330071E-2</v>
      </c>
      <c r="H37" s="321">
        <f t="shared" si="3"/>
        <v>0.61548501567156477</v>
      </c>
      <c r="I37" s="200">
        <f t="shared" si="5"/>
        <v>0.66309301893277095</v>
      </c>
    </row>
    <row r="38" spans="1:11" x14ac:dyDescent="0.25">
      <c r="A38" s="197" t="s">
        <v>144</v>
      </c>
      <c r="B38" s="198"/>
      <c r="C38" s="198">
        <f>'COMPTES SA (Chiffres utiles)'!D11+'COMPTES SA (Chiffres utiles)'!D17+'COMPTES SA (Chiffres utiles)'!D24+'COMPTES SA (Chiffres utiles)'!D32+'COMPTES SA (Chiffres utiles)'!D38+'COMPTES SA (Chiffres utiles)'!D44+'COMPTES SA (Chiffres utiles)'!D50</f>
        <v>953.67266248999999</v>
      </c>
      <c r="D38" s="318">
        <f>'COMPTES SA (Chiffres utiles)'!E11+'COMPTES SA (Chiffres utiles)'!E18+'COMPTES SA (Chiffres utiles)'!E24+'COMPTES SA (Chiffres utiles)'!E32+'COMPTES SA (Chiffres utiles)'!E38+'COMPTES SA (Chiffres utiles)'!E44+'COMPTES SA (Chiffres utiles)'!E50</f>
        <v>697.76044102999992</v>
      </c>
      <c r="E38" s="199">
        <f>D38/$D$39</f>
        <v>4.725827357026699E-2</v>
      </c>
      <c r="F38" s="199" t="e">
        <f t="shared" si="4"/>
        <v>#DIV/0!</v>
      </c>
      <c r="G38" s="315">
        <f t="shared" si="4"/>
        <v>-0.26834387890686073</v>
      </c>
      <c r="H38" s="321">
        <f t="shared" si="3"/>
        <v>-1.7815042694053034</v>
      </c>
      <c r="I38" s="200" t="e">
        <f>(B38/$B$39)*F38*100</f>
        <v>#DIV/0!</v>
      </c>
    </row>
    <row r="39" spans="1:11" ht="13" x14ac:dyDescent="0.3">
      <c r="A39" s="19" t="s">
        <v>22</v>
      </c>
      <c r="B39" s="176">
        <f>SUM(B34:B37)</f>
        <v>15253.660871410004</v>
      </c>
      <c r="C39" s="176">
        <f>SUM(C34:C37)</f>
        <v>14364.951342240001</v>
      </c>
      <c r="D39" s="320">
        <f>SUM(D34:D37)</f>
        <v>14764.831389630002</v>
      </c>
      <c r="E39" s="177">
        <f>SUM(E34:E37)</f>
        <v>0.99999999999999989</v>
      </c>
      <c r="F39" s="177">
        <f t="shared" si="4"/>
        <v>-5.8262048478848416E-2</v>
      </c>
      <c r="G39" s="317">
        <f t="shared" si="4"/>
        <v>2.7837201662783029E-2</v>
      </c>
      <c r="H39" s="323">
        <f t="shared" si="3"/>
        <v>2.7837201662783029</v>
      </c>
      <c r="I39" s="222">
        <f t="shared" si="5"/>
        <v>-5.8262048478848421</v>
      </c>
    </row>
    <row r="40" spans="1:11" x14ac:dyDescent="0.25">
      <c r="B40" s="243"/>
      <c r="C40" s="243"/>
      <c r="D40" s="243"/>
    </row>
    <row r="43" spans="1:11" x14ac:dyDescent="0.25">
      <c r="E43" s="262"/>
      <c r="F43" s="419" t="s">
        <v>118</v>
      </c>
      <c r="G43" s="419" t="s">
        <v>119</v>
      </c>
      <c r="H43" s="419" t="s">
        <v>85</v>
      </c>
      <c r="I43" s="419" t="s">
        <v>86</v>
      </c>
      <c r="J43" s="263" t="s">
        <v>144</v>
      </c>
      <c r="K43" s="265" t="s">
        <v>127</v>
      </c>
    </row>
    <row r="44" spans="1:11" x14ac:dyDescent="0.25">
      <c r="E44" s="520" t="s">
        <v>168</v>
      </c>
      <c r="F44" s="522">
        <f>G34</f>
        <v>3.8430123238025082E-2</v>
      </c>
      <c r="G44" s="522">
        <f>G35</f>
        <v>2.1051184410116885E-2</v>
      </c>
      <c r="H44" s="522">
        <f>G36</f>
        <v>7.3634182562645423E-2</v>
      </c>
      <c r="I44" s="522">
        <f>G37</f>
        <v>1.299188879330071E-2</v>
      </c>
      <c r="J44" s="522">
        <f>G38</f>
        <v>-0.26834387890686073</v>
      </c>
      <c r="K44" s="518">
        <f>G39</f>
        <v>2.7837201662783029E-2</v>
      </c>
    </row>
    <row r="45" spans="1:11" x14ac:dyDescent="0.25">
      <c r="E45" s="520"/>
      <c r="F45" s="522"/>
      <c r="G45" s="522"/>
      <c r="H45" s="522"/>
      <c r="I45" s="522"/>
      <c r="J45" s="522"/>
      <c r="K45" s="518"/>
    </row>
    <row r="46" spans="1:11" x14ac:dyDescent="0.25">
      <c r="E46" s="520" t="s">
        <v>169</v>
      </c>
      <c r="F46" s="521">
        <f>H34</f>
        <v>1.5732215277713617</v>
      </c>
      <c r="G46" s="521">
        <f>H35</f>
        <v>0.10634709367291072</v>
      </c>
      <c r="H46" s="521">
        <f>H36</f>
        <v>0.48866652916245745</v>
      </c>
      <c r="I46" s="521">
        <f>H37</f>
        <v>0.61548501567156477</v>
      </c>
      <c r="J46" s="521">
        <f>H38</f>
        <v>-1.7815042694053034</v>
      </c>
      <c r="K46" s="519">
        <f>H39</f>
        <v>2.7837201662783029</v>
      </c>
    </row>
    <row r="47" spans="1:11" x14ac:dyDescent="0.25">
      <c r="E47" s="520"/>
      <c r="F47" s="521"/>
      <c r="G47" s="521"/>
      <c r="H47" s="521"/>
      <c r="I47" s="521"/>
      <c r="J47" s="521"/>
      <c r="K47" s="519"/>
    </row>
  </sheetData>
  <mergeCells count="14">
    <mergeCell ref="K46:K47"/>
    <mergeCell ref="E44:E45"/>
    <mergeCell ref="F44:F45"/>
    <mergeCell ref="G44:G45"/>
    <mergeCell ref="H44:H45"/>
    <mergeCell ref="I44:I45"/>
    <mergeCell ref="K44:K45"/>
    <mergeCell ref="E46:E47"/>
    <mergeCell ref="F46:F47"/>
    <mergeCell ref="G46:G47"/>
    <mergeCell ref="H46:H47"/>
    <mergeCell ref="I46:I47"/>
    <mergeCell ref="J44:J45"/>
    <mergeCell ref="J46:J4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9"/>
  <sheetViews>
    <sheetView zoomScale="110" zoomScaleNormal="110" workbookViewId="0"/>
  </sheetViews>
  <sheetFormatPr baseColWidth="10" defaultRowHeight="12.5" x14ac:dyDescent="0.25"/>
  <cols>
    <col min="1" max="1" width="42" customWidth="1"/>
    <col min="9" max="9" width="15.54296875" customWidth="1"/>
    <col min="10" max="13" width="9.453125" customWidth="1"/>
  </cols>
  <sheetData>
    <row r="1" spans="1:10" ht="13" x14ac:dyDescent="0.3">
      <c r="A1" s="19" t="s">
        <v>2</v>
      </c>
      <c r="B1" s="220">
        <f>'%charges'!B1</f>
        <v>2021</v>
      </c>
      <c r="C1" s="220">
        <f>'%charges'!C1</f>
        <v>2022</v>
      </c>
      <c r="D1" s="184" t="s">
        <v>29</v>
      </c>
      <c r="E1" s="19" t="s">
        <v>67</v>
      </c>
      <c r="F1" s="19" t="s">
        <v>68</v>
      </c>
    </row>
    <row r="2" spans="1:10" x14ac:dyDescent="0.25">
      <c r="A2" s="34" t="s">
        <v>23</v>
      </c>
      <c r="B2" s="35">
        <f>'COMPTES SA (Chiffres utiles)'!Q9</f>
        <v>3022.4385234800002</v>
      </c>
      <c r="C2" s="35">
        <f>'COMPTES SA (Chiffres utiles)'!R9</f>
        <v>3132.4160716800002</v>
      </c>
      <c r="D2" s="186">
        <f>C2/$C$11</f>
        <v>0.45438514696345078</v>
      </c>
      <c r="E2" s="221">
        <f t="shared" ref="E2:E11" si="0">C2/B2-1</f>
        <v>3.6387025689896602E-2</v>
      </c>
      <c r="F2" s="222">
        <f t="shared" ref="F2:F11" si="1">(B2/$B$23)*E2*100</f>
        <v>1.6160495938540069</v>
      </c>
    </row>
    <row r="3" spans="1:10" x14ac:dyDescent="0.25">
      <c r="A3" s="356" t="s">
        <v>28</v>
      </c>
      <c r="B3" s="357">
        <v>0</v>
      </c>
      <c r="C3" s="357">
        <v>0</v>
      </c>
      <c r="D3" s="358">
        <f t="shared" ref="D3:D10" si="2">C3/$C$11</f>
        <v>0</v>
      </c>
      <c r="E3" s="359" t="e">
        <f t="shared" si="0"/>
        <v>#DIV/0!</v>
      </c>
      <c r="F3" s="360" t="e">
        <f t="shared" si="1"/>
        <v>#DIV/0!</v>
      </c>
    </row>
    <row r="4" spans="1:10" x14ac:dyDescent="0.25">
      <c r="A4" t="s">
        <v>27</v>
      </c>
      <c r="B4" s="31">
        <f>'SA1'!B16</f>
        <v>2556.185583</v>
      </c>
      <c r="C4" s="31">
        <f>'SA1'!C16</f>
        <v>2497</v>
      </c>
      <c r="D4" s="30">
        <f t="shared" si="2"/>
        <v>0.36221232620582866</v>
      </c>
      <c r="E4" s="195">
        <f t="shared" si="0"/>
        <v>-2.3153867776117498E-2</v>
      </c>
      <c r="F4" s="3">
        <f t="shared" si="1"/>
        <v>-0.86969421427020321</v>
      </c>
    </row>
    <row r="5" spans="1:10" x14ac:dyDescent="0.25">
      <c r="A5" s="356" t="s">
        <v>74</v>
      </c>
      <c r="B5" s="357">
        <f>'COMPTES SA (Chiffres utiles)'!Q16</f>
        <v>251.30351136000002</v>
      </c>
      <c r="C5" s="357">
        <f>'COMPTES SA (Chiffres utiles)'!R16</f>
        <v>268.16722089000001</v>
      </c>
      <c r="D5" s="358">
        <f t="shared" si="2"/>
        <v>3.8900069239374925E-2</v>
      </c>
      <c r="E5" s="359">
        <f t="shared" si="0"/>
        <v>6.7104949862169638E-2</v>
      </c>
      <c r="F5" s="360">
        <f t="shared" si="1"/>
        <v>0.24780140476734536</v>
      </c>
    </row>
    <row r="6" spans="1:10" x14ac:dyDescent="0.25">
      <c r="A6" t="s">
        <v>53</v>
      </c>
      <c r="B6" s="31">
        <f>'COMPTES SA (Chiffres utiles)'!Q28</f>
        <v>0</v>
      </c>
      <c r="C6" s="31">
        <f>'COMPTES SA (Chiffres utiles)'!R28</f>
        <v>0</v>
      </c>
      <c r="D6" s="30">
        <f t="shared" si="2"/>
        <v>0</v>
      </c>
      <c r="E6" s="195" t="e">
        <f t="shared" si="0"/>
        <v>#DIV/0!</v>
      </c>
      <c r="F6" s="3" t="e">
        <f t="shared" si="1"/>
        <v>#DIV/0!</v>
      </c>
    </row>
    <row r="7" spans="1:10" x14ac:dyDescent="0.25">
      <c r="A7" s="356" t="s">
        <v>75</v>
      </c>
      <c r="B7" s="357">
        <f>'SA1'!B38+'SA1'!B39</f>
        <v>409.50440794000002</v>
      </c>
      <c r="C7" s="357">
        <f>'SA1'!C38+'SA1'!C39</f>
        <v>405.46763747999995</v>
      </c>
      <c r="D7" s="358">
        <f t="shared" si="2"/>
        <v>5.8816730545779905E-2</v>
      </c>
      <c r="E7" s="359">
        <f t="shared" si="0"/>
        <v>-9.8576972108967986E-3</v>
      </c>
      <c r="F7" s="360">
        <f t="shared" si="1"/>
        <v>-5.9317755024884178E-2</v>
      </c>
      <c r="H7" s="31"/>
      <c r="I7" s="31"/>
      <c r="J7" s="296"/>
    </row>
    <row r="8" spans="1:10" x14ac:dyDescent="0.25">
      <c r="A8" t="s">
        <v>76</v>
      </c>
      <c r="B8" s="31">
        <f>'SA1'!B33</f>
        <v>107.28815077</v>
      </c>
      <c r="C8" s="31">
        <f>'SA1'!C33</f>
        <v>122.75254905000001</v>
      </c>
      <c r="D8" s="30">
        <f t="shared" si="2"/>
        <v>1.7806362170242528E-2</v>
      </c>
      <c r="E8" s="195">
        <f t="shared" si="0"/>
        <v>0.144138920924753</v>
      </c>
      <c r="F8" s="3">
        <f t="shared" si="1"/>
        <v>0.22723942266964117</v>
      </c>
    </row>
    <row r="9" spans="1:10" x14ac:dyDescent="0.25">
      <c r="A9" s="356" t="s">
        <v>25</v>
      </c>
      <c r="B9" s="357">
        <f>'COMPTES SA (Chiffres utiles)'!Q34</f>
        <v>0</v>
      </c>
      <c r="C9" s="357">
        <f>'COMPTES SA (Chiffres utiles)'!R34</f>
        <v>0</v>
      </c>
      <c r="D9" s="358">
        <f t="shared" si="2"/>
        <v>0</v>
      </c>
      <c r="E9" s="359" t="e">
        <f t="shared" si="0"/>
        <v>#DIV/0!</v>
      </c>
      <c r="F9" s="360" t="e">
        <f t="shared" si="1"/>
        <v>#DIV/0!</v>
      </c>
    </row>
    <row r="10" spans="1:10" x14ac:dyDescent="0.25">
      <c r="A10" s="34" t="s">
        <v>24</v>
      </c>
      <c r="B10" s="31">
        <f>B11-SUM(B2:B9)</f>
        <v>458.61232180000025</v>
      </c>
      <c r="C10" s="31">
        <f>C11-SUM(C2:C9)</f>
        <v>467.94314227000086</v>
      </c>
      <c r="D10" s="30">
        <f t="shared" si="2"/>
        <v>6.78793648753232E-2</v>
      </c>
      <c r="E10" s="195">
        <f t="shared" si="0"/>
        <v>2.0345769240081024E-2</v>
      </c>
      <c r="F10" s="3">
        <f t="shared" si="1"/>
        <v>0.13711042733419576</v>
      </c>
    </row>
    <row r="11" spans="1:10" ht="13" x14ac:dyDescent="0.3">
      <c r="A11" s="175" t="s">
        <v>30</v>
      </c>
      <c r="B11" s="176">
        <f>'COMPTES SA (Chiffres utiles)'!Q9+'COMPTES SA (Chiffres utiles)'!Q16+'COMPTES SA (Chiffres utiles)'!Q22+'COMPTES SA (Chiffres utiles)'!Q28+'COMPTES SA (Chiffres utiles)'!Q34+'COMPTES SA (Chiffres utiles)'!Q40+'COMPTES SA (Chiffres utiles)'!Q46+'COMPTES SA (Chiffres utiles)'!Q52+'COMPTES SA (Chiffres utiles)'!Q58+'COMPTES SA (Chiffres utiles)'!Q64</f>
        <v>6805.3324983500006</v>
      </c>
      <c r="C11" s="176">
        <f>'COMPTES SA (Chiffres utiles)'!R9+'COMPTES SA (Chiffres utiles)'!R16+'COMPTES SA (Chiffres utiles)'!R22+'COMPTES SA (Chiffres utiles)'!R28+'COMPTES SA (Chiffres utiles)'!R34+'COMPTES SA (Chiffres utiles)'!R40+'COMPTES SA (Chiffres utiles)'!R46+'COMPTES SA (Chiffres utiles)'!R52+'COMPTES SA (Chiffres utiles)'!R58+'COMPTES SA (Chiffres utiles)'!R64</f>
        <v>6893.7466213700009</v>
      </c>
      <c r="D11" s="177">
        <f>SUM(D2:D10)</f>
        <v>1</v>
      </c>
      <c r="E11" s="196">
        <f t="shared" si="0"/>
        <v>1.2991888793300932E-2</v>
      </c>
      <c r="F11" s="178">
        <f t="shared" si="1"/>
        <v>1.2991888793300936</v>
      </c>
    </row>
    <row r="12" spans="1:10" x14ac:dyDescent="0.25">
      <c r="B12" s="243"/>
      <c r="C12" s="243"/>
    </row>
    <row r="15" spans="1:10" ht="13.5" thickBot="1" x14ac:dyDescent="0.35">
      <c r="A15" s="19" t="s">
        <v>2</v>
      </c>
      <c r="B15" s="19">
        <f>B1</f>
        <v>2021</v>
      </c>
      <c r="C15" s="19">
        <f>C1</f>
        <v>2022</v>
      </c>
      <c r="D15" s="184" t="s">
        <v>29</v>
      </c>
      <c r="E15" s="19" t="s">
        <v>67</v>
      </c>
      <c r="F15" s="19" t="s">
        <v>68</v>
      </c>
    </row>
    <row r="16" spans="1:10" x14ac:dyDescent="0.25">
      <c r="A16" s="34" t="s">
        <v>23</v>
      </c>
      <c r="B16" s="35">
        <f>B2</f>
        <v>3022.4385234800002</v>
      </c>
      <c r="C16" s="405">
        <f>C2</f>
        <v>3132.4160716800002</v>
      </c>
      <c r="D16" s="409">
        <f>D2</f>
        <v>0.45438514696345078</v>
      </c>
      <c r="E16" s="413">
        <f t="shared" ref="E16:E23" si="3">C16/B16-1</f>
        <v>3.6387025689896602E-2</v>
      </c>
      <c r="F16" s="247">
        <f t="shared" ref="F16:F23" si="4">(B16/$B$23)*E16*100</f>
        <v>1.6160495938540069</v>
      </c>
    </row>
    <row r="17" spans="1:6" x14ac:dyDescent="0.25">
      <c r="A17" s="34" t="s">
        <v>27</v>
      </c>
      <c r="B17" s="35">
        <f>B4</f>
        <v>2556.185583</v>
      </c>
      <c r="C17" s="406">
        <f>C4</f>
        <v>2497</v>
      </c>
      <c r="D17" s="410">
        <f>D4</f>
        <v>0.36221232620582866</v>
      </c>
      <c r="E17" s="414">
        <f t="shared" si="3"/>
        <v>-2.3153867776117498E-2</v>
      </c>
      <c r="F17" s="247">
        <f t="shared" si="4"/>
        <v>-0.86969421427020321</v>
      </c>
    </row>
    <row r="18" spans="1:6" x14ac:dyDescent="0.25">
      <c r="A18" s="197" t="s">
        <v>25</v>
      </c>
      <c r="B18" s="198">
        <f>B9</f>
        <v>0</v>
      </c>
      <c r="C18" s="407">
        <f>C9</f>
        <v>0</v>
      </c>
      <c r="D18" s="411">
        <f>D9</f>
        <v>0</v>
      </c>
      <c r="E18" s="415" t="e">
        <f>C18/B18-1</f>
        <v>#DIV/0!</v>
      </c>
      <c r="F18" s="246" t="e">
        <f t="shared" si="4"/>
        <v>#DIV/0!</v>
      </c>
    </row>
    <row r="19" spans="1:6" x14ac:dyDescent="0.25">
      <c r="A19" s="34" t="s">
        <v>28</v>
      </c>
      <c r="B19" s="35">
        <f>B3</f>
        <v>0</v>
      </c>
      <c r="C19" s="406">
        <f>C3</f>
        <v>0</v>
      </c>
      <c r="D19" s="410">
        <f>D3</f>
        <v>0</v>
      </c>
      <c r="E19" s="414" t="e">
        <f t="shared" si="3"/>
        <v>#DIV/0!</v>
      </c>
      <c r="F19" s="247" t="e">
        <f t="shared" si="4"/>
        <v>#DIV/0!</v>
      </c>
    </row>
    <row r="20" spans="1:6" x14ac:dyDescent="0.25">
      <c r="A20" s="257" t="s">
        <v>117</v>
      </c>
      <c r="B20" s="198">
        <f>B10</f>
        <v>458.61232180000025</v>
      </c>
      <c r="C20" s="407">
        <f>C10</f>
        <v>467.94314227000086</v>
      </c>
      <c r="D20" s="411">
        <f>D10</f>
        <v>6.78793648753232E-2</v>
      </c>
      <c r="E20" s="415">
        <f t="shared" si="3"/>
        <v>2.0345769240081024E-2</v>
      </c>
      <c r="F20" s="246">
        <f t="shared" si="4"/>
        <v>0.13711042733419576</v>
      </c>
    </row>
    <row r="21" spans="1:6" x14ac:dyDescent="0.25">
      <c r="A21" s="34" t="s">
        <v>116</v>
      </c>
      <c r="B21" s="35">
        <f>B7+B8</f>
        <v>516.79255870999998</v>
      </c>
      <c r="C21" s="406">
        <f>C7+C8</f>
        <v>528.22018652999998</v>
      </c>
      <c r="D21" s="410">
        <f>D7+D8</f>
        <v>7.662309271602244E-2</v>
      </c>
      <c r="E21" s="414">
        <f t="shared" si="3"/>
        <v>2.2112601327939574E-2</v>
      </c>
      <c r="F21" s="247">
        <f t="shared" si="4"/>
        <v>0.16792166764475863</v>
      </c>
    </row>
    <row r="22" spans="1:6" ht="13" thickBot="1" x14ac:dyDescent="0.3">
      <c r="A22" s="197" t="s">
        <v>26</v>
      </c>
      <c r="B22" s="198">
        <f>B5+B6</f>
        <v>251.30351136000002</v>
      </c>
      <c r="C22" s="408">
        <f>C5+C6</f>
        <v>268.16722089000001</v>
      </c>
      <c r="D22" s="412">
        <f>D5+D6</f>
        <v>3.8900069239374925E-2</v>
      </c>
      <c r="E22" s="416">
        <f t="shared" si="3"/>
        <v>6.7104949862169638E-2</v>
      </c>
      <c r="F22" s="246">
        <f t="shared" si="4"/>
        <v>0.24780140476734536</v>
      </c>
    </row>
    <row r="23" spans="1:6" ht="13" x14ac:dyDescent="0.3">
      <c r="A23" s="175" t="s">
        <v>30</v>
      </c>
      <c r="B23" s="176">
        <f>SUM(B16:B22)</f>
        <v>6805.3324983499997</v>
      </c>
      <c r="C23" s="176">
        <f>SUM(C16:C22)</f>
        <v>6893.7466213700009</v>
      </c>
      <c r="D23" s="177">
        <f>SUM(D16:D22)</f>
        <v>1</v>
      </c>
      <c r="E23" s="196">
        <f t="shared" si="3"/>
        <v>1.2991888793301154E-2</v>
      </c>
      <c r="F23" s="248">
        <f t="shared" si="4"/>
        <v>1.2991888793301154</v>
      </c>
    </row>
    <row r="24" spans="1:6" x14ac:dyDescent="0.25">
      <c r="B24" s="243"/>
      <c r="C24" s="243"/>
    </row>
    <row r="25" spans="1:6" x14ac:dyDescent="0.25">
      <c r="C25" s="179"/>
    </row>
    <row r="54" spans="1:6" ht="13" x14ac:dyDescent="0.3">
      <c r="A54" s="19" t="s">
        <v>2</v>
      </c>
      <c r="B54" s="19">
        <f>B15</f>
        <v>2021</v>
      </c>
      <c r="C54" s="19">
        <f>C15</f>
        <v>2022</v>
      </c>
      <c r="D54" s="184" t="s">
        <v>29</v>
      </c>
      <c r="E54" s="19" t="s">
        <v>67</v>
      </c>
      <c r="F54" s="19" t="s">
        <v>68</v>
      </c>
    </row>
    <row r="55" spans="1:6" x14ac:dyDescent="0.25">
      <c r="A55" s="258" t="s">
        <v>118</v>
      </c>
      <c r="B55" s="35">
        <f>'COMPTES SA (Chiffres utiles)'!Q6+'COMPTES SA (Chiffres utiles)'!Q13+'COMPTES SA (Chiffres utiles)'!Q19+'COMPTES SA (Chiffres utiles)'!Q25+'COMPTES SA (Chiffres utiles)'!Q37+'COMPTES SA (Chiffres utiles)'!Q43+'COMPTES SA (Chiffres utiles)'!Q49+'COMPTES SA (Chiffres utiles)'!Q55+'COMPTES SA (Chiffres utiles)'!Q61+'COMPTES SA (Chiffres utiles)'!Q31</f>
        <v>5880.6084375600003</v>
      </c>
      <c r="C55" s="35">
        <f>'COMPTES SA (Chiffres utiles)'!R6+'COMPTES SA (Chiffres utiles)'!R13+'COMPTES SA (Chiffres utiles)'!R19+'COMPTES SA (Chiffres utiles)'!R25+'COMPTES SA (Chiffres utiles)'!R37+'COMPTES SA (Chiffres utiles)'!R43+'COMPTES SA (Chiffres utiles)'!R49+'COMPTES SA (Chiffres utiles)'!R55+'COMPTES SA (Chiffres utiles)'!R61+'COMPTES SA (Chiffres utiles)'!R31</f>
        <v>6106.6009445300006</v>
      </c>
      <c r="D55" s="186">
        <f>C55/$C$59</f>
        <v>0.41192806102111973</v>
      </c>
      <c r="E55" s="186">
        <f>C55/B55-1</f>
        <v>3.843012323802486E-2</v>
      </c>
      <c r="F55" s="222">
        <f>(B55/$B$59)*E55*100</f>
        <v>1.5698327846471318</v>
      </c>
    </row>
    <row r="56" spans="1:6" x14ac:dyDescent="0.25">
      <c r="A56" s="34" t="s">
        <v>87</v>
      </c>
      <c r="B56" s="35">
        <f>'COMPTES SA (Chiffres utiles)'!Q8+'COMPTES SA (Chiffres utiles)'!Q15+'COMPTES SA (Chiffres utiles)'!Q21+'COMPTES SA (Chiffres utiles)'!Q27+'COMPTES SA (Chiffres utiles)'!Q39+'COMPTES SA (Chiffres utiles)'!Q45+'COMPTES SA (Chiffres utiles)'!Q51+'COMPTES SA (Chiffres utiles)'!Q57+'COMPTES SA (Chiffres utiles)'!Q63</f>
        <v>756.70264492000001</v>
      </c>
      <c r="C56" s="35">
        <f>'COMPTES SA (Chiffres utiles)'!R8+'COMPTES SA (Chiffres utiles)'!R15+'COMPTES SA (Chiffres utiles)'!R21+'COMPTES SA (Chiffres utiles)'!R27+'COMPTES SA (Chiffres utiles)'!R39+'COMPTES SA (Chiffres utiles)'!R45+'COMPTES SA (Chiffres utiles)'!R51+'COMPTES SA (Chiffres utiles)'!R57+'COMPTES SA (Chiffres utiles)'!R63</f>
        <v>800.57428067000001</v>
      </c>
      <c r="D56" s="186">
        <f t="shared" ref="D56:D59" si="5">C56/$C$59</f>
        <v>5.4003694385036077E-2</v>
      </c>
      <c r="E56" s="186">
        <f t="shared" ref="E56:E59" si="6">C56/B56-1</f>
        <v>5.7977378623591536E-2</v>
      </c>
      <c r="F56" s="222">
        <f t="shared" ref="F56:F59" si="7">(B56/$B$59)*E56*100</f>
        <v>0.30474962661301747</v>
      </c>
    </row>
    <row r="57" spans="1:6" x14ac:dyDescent="0.25">
      <c r="A57" s="34" t="s">
        <v>85</v>
      </c>
      <c r="B57" s="35">
        <f>'COMPTES SA (Chiffres utiles)'!Q7+'COMPTES SA (Chiffres utiles)'!Q14+'COMPTES SA (Chiffres utiles)'!Q20+'COMPTES SA (Chiffres utiles)'!Q26+'COMPTES SA (Chiffres utiles)'!Q38+'COMPTES SA (Chiffres utiles)'!Q44+'COMPTES SA (Chiffres utiles)'!Q50+'COMPTES SA (Chiffres utiles)'!Q56+'COMPTES SA (Chiffres utiles)'!Q62+'COMPTES SA (Chiffres utiles)'!Q32</f>
        <v>953.31687942999986</v>
      </c>
      <c r="C57" s="35">
        <f>'COMPTES SA (Chiffres utiles)'!R7+'COMPTES SA (Chiffres utiles)'!R14+'COMPTES SA (Chiffres utiles)'!R20+'COMPTES SA (Chiffres utiles)'!R26+'COMPTES SA (Chiffres utiles)'!R38+'COMPTES SA (Chiffres utiles)'!R44+'COMPTES SA (Chiffres utiles)'!R50+'COMPTES SA (Chiffres utiles)'!R56+'COMPTES SA (Chiffres utiles)'!R62+'COMPTES SA (Chiffres utiles)'!R32</f>
        <v>1023.5135885699999</v>
      </c>
      <c r="D57" s="186">
        <f t="shared" si="5"/>
        <v>6.9042331699448886E-2</v>
      </c>
      <c r="E57" s="186">
        <f t="shared" si="6"/>
        <v>7.3634182562645423E-2</v>
      </c>
      <c r="F57" s="222">
        <f t="shared" si="7"/>
        <v>0.48761393401835051</v>
      </c>
    </row>
    <row r="58" spans="1:6" x14ac:dyDescent="0.25">
      <c r="A58" s="197" t="s">
        <v>86</v>
      </c>
      <c r="B58" s="198">
        <f>'COMPTES SA (Chiffres utiles)'!Q9+'COMPTES SA (Chiffres utiles)'!Q16+'COMPTES SA (Chiffres utiles)'!Q22+'COMPTES SA (Chiffres utiles)'!Q28+'COMPTES SA (Chiffres utiles)'!Q40+'COMPTES SA (Chiffres utiles)'!Q46+'COMPTES SA (Chiffres utiles)'!Q52+'COMPTES SA (Chiffres utiles)'!Q58+'COMPTES SA (Chiffres utiles)'!Q64</f>
        <v>6805.3324983500006</v>
      </c>
      <c r="C58" s="198">
        <f>'COMPTES SA (Chiffres utiles)'!R9+'COMPTES SA (Chiffres utiles)'!R16+'COMPTES SA (Chiffres utiles)'!R22+'COMPTES SA (Chiffres utiles)'!R28+'COMPTES SA (Chiffres utiles)'!R40+'COMPTES SA (Chiffres utiles)'!R46+'COMPTES SA (Chiffres utiles)'!R52+'COMPTES SA (Chiffres utiles)'!R58+'COMPTES SA (Chiffres utiles)'!R64</f>
        <v>6893.7466213700009</v>
      </c>
      <c r="D58" s="199">
        <f t="shared" si="5"/>
        <v>0.46502591289439527</v>
      </c>
      <c r="E58" s="199">
        <f t="shared" si="6"/>
        <v>1.2991888793300932E-2</v>
      </c>
      <c r="F58" s="200">
        <f t="shared" si="7"/>
        <v>0.61415925157662721</v>
      </c>
    </row>
    <row r="59" spans="1:6" ht="13" x14ac:dyDescent="0.3">
      <c r="A59" s="19" t="s">
        <v>22</v>
      </c>
      <c r="B59" s="259">
        <f>SUM(B55:B58)</f>
        <v>14395.960460260001</v>
      </c>
      <c r="C59" s="259">
        <f>SUM(C55:C58)</f>
        <v>14824.435435140002</v>
      </c>
      <c r="D59" s="260">
        <f t="shared" si="5"/>
        <v>1</v>
      </c>
      <c r="E59" s="260">
        <f t="shared" si="6"/>
        <v>2.9763555968551403E-2</v>
      </c>
      <c r="F59" s="261">
        <f t="shared" si="7"/>
        <v>2.9763555968551403</v>
      </c>
    </row>
    <row r="65" spans="9:13" x14ac:dyDescent="0.25">
      <c r="I65" s="262"/>
      <c r="J65" s="263" t="s">
        <v>118</v>
      </c>
      <c r="K65" s="263" t="s">
        <v>119</v>
      </c>
      <c r="L65" s="263" t="s">
        <v>85</v>
      </c>
      <c r="M65" s="263" t="s">
        <v>86</v>
      </c>
    </row>
    <row r="66" spans="9:13" x14ac:dyDescent="0.25">
      <c r="I66" s="520" t="s">
        <v>124</v>
      </c>
      <c r="J66" s="522">
        <f>E55</f>
        <v>3.843012323802486E-2</v>
      </c>
      <c r="K66" s="522">
        <f>E56</f>
        <v>5.7977378623591536E-2</v>
      </c>
      <c r="L66" s="522">
        <f>E57</f>
        <v>7.3634182562645423E-2</v>
      </c>
      <c r="M66" s="522">
        <f>E58</f>
        <v>1.2991888793300932E-2</v>
      </c>
    </row>
    <row r="67" spans="9:13" x14ac:dyDescent="0.25">
      <c r="I67" s="520"/>
      <c r="J67" s="522"/>
      <c r="K67" s="522"/>
      <c r="L67" s="522"/>
      <c r="M67" s="522"/>
    </row>
    <row r="68" spans="9:13" x14ac:dyDescent="0.25">
      <c r="I68" s="520" t="s">
        <v>125</v>
      </c>
      <c r="J68" s="521">
        <f>F55</f>
        <v>1.5698327846471318</v>
      </c>
      <c r="K68" s="521">
        <f>F56</f>
        <v>0.30474962661301747</v>
      </c>
      <c r="L68" s="521">
        <f>F57</f>
        <v>0.48761393401835051</v>
      </c>
      <c r="M68" s="521">
        <f>F58</f>
        <v>0.61415925157662721</v>
      </c>
    </row>
    <row r="69" spans="9:13" x14ac:dyDescent="0.25">
      <c r="I69" s="520"/>
      <c r="J69" s="521"/>
      <c r="K69" s="521"/>
      <c r="L69" s="521"/>
      <c r="M69" s="521"/>
    </row>
  </sheetData>
  <mergeCells count="10">
    <mergeCell ref="I66:I67"/>
    <mergeCell ref="J66:J67"/>
    <mergeCell ref="K66:K67"/>
    <mergeCell ref="L66:L67"/>
    <mergeCell ref="M66:M67"/>
    <mergeCell ref="I68:I69"/>
    <mergeCell ref="J68:J69"/>
    <mergeCell ref="K68:K69"/>
    <mergeCell ref="L68:L69"/>
    <mergeCell ref="M68:M69"/>
  </mergeCells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"/>
  <sheetViews>
    <sheetView workbookViewId="0"/>
  </sheetViews>
  <sheetFormatPr baseColWidth="10" defaultColWidth="46" defaultRowHeight="12.5" x14ac:dyDescent="0.25"/>
  <cols>
    <col min="1" max="1" width="28.81640625" bestFit="1" customWidth="1"/>
    <col min="2" max="3" width="14.453125" bestFit="1" customWidth="1"/>
    <col min="4" max="4" width="16.1796875" customWidth="1"/>
    <col min="5" max="5" width="6.7265625" bestFit="1" customWidth="1"/>
  </cols>
  <sheetData>
    <row r="1" spans="1:3" ht="23" x14ac:dyDescent="0.25">
      <c r="A1" s="210" t="s">
        <v>12</v>
      </c>
      <c r="B1" s="211" t="str">
        <f>'SA1'!B1</f>
        <v>Réalisation 2021</v>
      </c>
      <c r="C1" s="211" t="str">
        <f>'SA1'!C1</f>
        <v>Réalisation 2022</v>
      </c>
    </row>
    <row r="2" spans="1:3" x14ac:dyDescent="0.25">
      <c r="A2" s="21" t="s">
        <v>89</v>
      </c>
      <c r="B2" s="213">
        <f>'%charges'!C37</f>
        <v>5880.6084375599994</v>
      </c>
      <c r="C2" s="213">
        <f>'%charges'!D37</f>
        <v>6106.6009445300006</v>
      </c>
    </row>
    <row r="3" spans="1:3" x14ac:dyDescent="0.25">
      <c r="A3" s="21" t="s">
        <v>90</v>
      </c>
      <c r="B3" s="213">
        <f>'%produits'!B55</f>
        <v>5880.6084375600003</v>
      </c>
      <c r="C3" s="213">
        <f>'%produits'!C55</f>
        <v>6106.6009445300006</v>
      </c>
    </row>
    <row r="4" spans="1:3" ht="13" x14ac:dyDescent="0.3">
      <c r="A4" s="212" t="s">
        <v>92</v>
      </c>
      <c r="B4" s="214">
        <f>B3-B2</f>
        <v>0</v>
      </c>
      <c r="C4" s="214">
        <f>C3-C2</f>
        <v>0</v>
      </c>
    </row>
    <row r="5" spans="1:3" x14ac:dyDescent="0.25">
      <c r="A5" s="21" t="s">
        <v>91</v>
      </c>
      <c r="B5" s="213">
        <f>'COMPTES SA (Chiffres utiles)'!D10+'COMPTES SA (Chiffres utiles)'!D17+'COMPTES SA (Chiffres utiles)'!D23+'COMPTES SA (Chiffres utiles)'!D31+'COMPTES SA (Chiffres utiles)'!D37+'COMPTES SA (Chiffres utiles)'!D43+'COMPTES SA (Chiffres utiles)'!D49</f>
        <v>6805.3324983500024</v>
      </c>
      <c r="C5" s="213">
        <f>'COMPTES SA (Chiffres utiles)'!E10+'COMPTES SA (Chiffres utiles)'!E17+'COMPTES SA (Chiffres utiles)'!E23+'COMPTES SA (Chiffres utiles)'!E31+'COMPTES SA (Chiffres utiles)'!E37+'COMPTES SA (Chiffres utiles)'!E43+'COMPTES SA (Chiffres utiles)'!E49</f>
        <v>6893.7466213700009</v>
      </c>
    </row>
    <row r="6" spans="1:3" x14ac:dyDescent="0.25">
      <c r="A6" s="21" t="s">
        <v>93</v>
      </c>
      <c r="B6" s="100">
        <f>'COMPTES SA (Chiffres utiles)'!Q9+'COMPTES SA (Chiffres utiles)'!Q16+'COMPTES SA (Chiffres utiles)'!Q22+'COMPTES SA (Chiffres utiles)'!Q28+'COMPTES SA (Chiffres utiles)'!Q40+'COMPTES SA (Chiffres utiles)'!Q46+'COMPTES SA (Chiffres utiles)'!Q52+'COMPTES SA (Chiffres utiles)'!Q58+'COMPTES SA (Chiffres utiles)'!Q64</f>
        <v>6805.3324983500006</v>
      </c>
      <c r="C6" s="100">
        <f>'COMPTES SA (Chiffres utiles)'!R9+'COMPTES SA (Chiffres utiles)'!R16+'COMPTES SA (Chiffres utiles)'!R22+'COMPTES SA (Chiffres utiles)'!R28+'COMPTES SA (Chiffres utiles)'!R40+'COMPTES SA (Chiffres utiles)'!R46+'COMPTES SA (Chiffres utiles)'!R52+'COMPTES SA (Chiffres utiles)'!R58+'COMPTES SA (Chiffres utiles)'!R64</f>
        <v>6893.7466213700009</v>
      </c>
    </row>
    <row r="7" spans="1:3" ht="13" x14ac:dyDescent="0.3">
      <c r="A7" s="212" t="s">
        <v>94</v>
      </c>
      <c r="B7" s="214">
        <f>B6-B5</f>
        <v>0</v>
      </c>
      <c r="C7" s="214">
        <f>C6-C5</f>
        <v>0</v>
      </c>
    </row>
    <row r="8" spans="1:3" x14ac:dyDescent="0.25">
      <c r="A8" s="21" t="s">
        <v>95</v>
      </c>
      <c r="B8" s="213">
        <f>'COMPTES SA (Chiffres utiles)'!D8+'COMPTES SA (Chiffres utiles)'!D15+'COMPTES SA (Chiffres utiles)'!D21+'COMPTES SA (Chiffres utiles)'!D29+'COMPTES SA (Chiffres utiles)'!D35+'COMPTES SA (Chiffres utiles)'!D41+'COMPTES SA (Chiffres utiles)'!D47</f>
        <v>725.69352690000005</v>
      </c>
      <c r="C8" s="213">
        <f>'COMPTES SA (Chiffres utiles)'!E8+'COMPTES SA (Chiffres utiles)'!E15+'COMPTES SA (Chiffres utiles)'!E21+'COMPTES SA (Chiffres utiles)'!E29+'COMPTES SA (Chiffres utiles)'!E35+'COMPTES SA (Chiffres utiles)'!E41+'COMPTES SA (Chiffres utiles)'!E47</f>
        <v>740.97023516000002</v>
      </c>
    </row>
    <row r="9" spans="1:3" x14ac:dyDescent="0.25">
      <c r="A9" s="21" t="s">
        <v>96</v>
      </c>
      <c r="B9" s="213">
        <f>'COMPTES SA (Chiffres utiles)'!Q8+'COMPTES SA (Chiffres utiles)'!Q15+'COMPTES SA (Chiffres utiles)'!Q21++'COMPTES SA (Chiffres utiles)'!Q27+'COMPTES SA (Chiffres utiles)'!Q39+'COMPTES SA (Chiffres utiles)'!Q45+'COMPTES SA (Chiffres utiles)'!Q51+'COMPTES SA (Chiffres utiles)'!Q57+'COMPTES SA (Chiffres utiles)'!Q63</f>
        <v>756.70264492000001</v>
      </c>
      <c r="C9" s="213">
        <f>'COMPTES SA (Chiffres utiles)'!R8+'COMPTES SA (Chiffres utiles)'!R15+'COMPTES SA (Chiffres utiles)'!R21++'COMPTES SA (Chiffres utiles)'!R27+'COMPTES SA (Chiffres utiles)'!R39+'COMPTES SA (Chiffres utiles)'!R45+'COMPTES SA (Chiffres utiles)'!R51+'COMPTES SA (Chiffres utiles)'!R57+'COMPTES SA (Chiffres utiles)'!R63</f>
        <v>800.57428067000001</v>
      </c>
    </row>
    <row r="10" spans="1:3" ht="13" x14ac:dyDescent="0.3">
      <c r="A10" s="212" t="s">
        <v>97</v>
      </c>
      <c r="B10" s="214">
        <f>B9-B8</f>
        <v>31.00911801999996</v>
      </c>
      <c r="C10" s="214">
        <f>C9-C8</f>
        <v>59.604045509999992</v>
      </c>
    </row>
    <row r="11" spans="1:3" x14ac:dyDescent="0.25">
      <c r="A11" s="21" t="s">
        <v>98</v>
      </c>
      <c r="B11" s="213">
        <f>'%charges'!C39</f>
        <v>953.31687942999997</v>
      </c>
      <c r="C11" s="213">
        <f>'%charges'!D39</f>
        <v>1023.51358857</v>
      </c>
    </row>
    <row r="12" spans="1:3" x14ac:dyDescent="0.25">
      <c r="A12" s="21" t="s">
        <v>99</v>
      </c>
      <c r="B12" s="213">
        <f>'%produits'!B57</f>
        <v>953.31687942999986</v>
      </c>
      <c r="C12" s="213">
        <f>'%produits'!C57</f>
        <v>1023.5135885699999</v>
      </c>
    </row>
    <row r="13" spans="1:3" ht="13" x14ac:dyDescent="0.3">
      <c r="A13" s="212" t="s">
        <v>100</v>
      </c>
      <c r="B13" s="214">
        <f>B12-B11</f>
        <v>0</v>
      </c>
      <c r="C13" s="214">
        <f>C12-C11</f>
        <v>0</v>
      </c>
    </row>
    <row r="14" spans="1:3" x14ac:dyDescent="0.25">
      <c r="A14" s="402" t="s">
        <v>147</v>
      </c>
      <c r="B14" s="401">
        <f>+'COMPTES SA (Chiffres utiles)'!D11+'COMPTES SA (Chiffres utiles)'!D18+'COMPTES SA (Chiffres utiles)'!D24+'COMPTES SA (Chiffres utiles)'!D32+'COMPTES SA (Chiffres utiles)'!D38+'COMPTES SA (Chiffres utiles)'!D44+'COMPTES SA (Chiffres utiles)'!D50</f>
        <v>679.87717814999996</v>
      </c>
      <c r="C14" s="401">
        <f>+'COMPTES SA (Chiffres utiles)'!E11+'COMPTES SA (Chiffres utiles)'!E18+'COMPTES SA (Chiffres utiles)'!E24+'COMPTES SA (Chiffres utiles)'!E32+'COMPTES SA (Chiffres utiles)'!E38+'COMPTES SA (Chiffres utiles)'!E44+'COMPTES SA (Chiffres utiles)'!E50</f>
        <v>697.76044102999992</v>
      </c>
    </row>
    <row r="15" spans="1:3" x14ac:dyDescent="0.25">
      <c r="A15" s="402" t="s">
        <v>148</v>
      </c>
      <c r="B15" s="401">
        <f>+'COMPTES SA (Chiffres utiles)'!Q41+'COMPTES SA (Chiffres utiles)'!Q65</f>
        <v>679.87717814999996</v>
      </c>
      <c r="C15" s="401">
        <f>+'COMPTES SA (Chiffres utiles)'!R41+'COMPTES SA (Chiffres utiles)'!R65</f>
        <v>697.76044103000004</v>
      </c>
    </row>
    <row r="16" spans="1:3" ht="13" x14ac:dyDescent="0.3">
      <c r="A16" s="212" t="s">
        <v>149</v>
      </c>
      <c r="B16" s="214">
        <v>0</v>
      </c>
      <c r="C16" s="214">
        <v>0</v>
      </c>
    </row>
    <row r="17" spans="1:6" ht="13" x14ac:dyDescent="0.3">
      <c r="A17" s="21" t="s">
        <v>101</v>
      </c>
      <c r="B17" s="213">
        <f>B2+B5+B8+B11+B14</f>
        <v>15044.828520390003</v>
      </c>
      <c r="C17" s="213">
        <f>C2+C5+C8+C11+C14</f>
        <v>15462.591830660002</v>
      </c>
      <c r="D17" s="215"/>
    </row>
    <row r="18" spans="1:6" ht="13" x14ac:dyDescent="0.3">
      <c r="A18" s="21" t="s">
        <v>102</v>
      </c>
      <c r="B18" s="213">
        <f>B3+B6+B9+B12+B15</f>
        <v>15075.837638410001</v>
      </c>
      <c r="C18" s="213">
        <f>C3+C6+C9+C12+C15</f>
        <v>15522.195876170001</v>
      </c>
      <c r="D18" s="215"/>
    </row>
    <row r="19" spans="1:6" ht="13" x14ac:dyDescent="0.3">
      <c r="A19" s="403" t="s">
        <v>103</v>
      </c>
      <c r="B19" s="404">
        <f>B18-B17</f>
        <v>31.009118019997914</v>
      </c>
      <c r="C19" s="404">
        <f>C18-C17</f>
        <v>59.604045509999196</v>
      </c>
    </row>
    <row r="20" spans="1:6" x14ac:dyDescent="0.25">
      <c r="B20" s="244">
        <f>'COMPTES SA (Chiffres utiles)'!D52</f>
        <v>31.009118019997914</v>
      </c>
      <c r="C20" s="244">
        <f>'COMPTES SA (Chiffres utiles)'!E52</f>
        <v>59.604045509999196</v>
      </c>
    </row>
    <row r="22" spans="1:6" ht="13" thickBot="1" x14ac:dyDescent="0.3"/>
    <row r="23" spans="1:6" ht="24" customHeight="1" x14ac:dyDescent="0.25">
      <c r="A23" s="523" t="s">
        <v>115</v>
      </c>
      <c r="B23" s="525">
        <v>2021</v>
      </c>
      <c r="C23" s="528">
        <v>2022</v>
      </c>
      <c r="D23" s="528" t="s">
        <v>155</v>
      </c>
    </row>
    <row r="24" spans="1:6" x14ac:dyDescent="0.25">
      <c r="A24" s="523"/>
      <c r="B24" s="526"/>
      <c r="C24" s="529"/>
      <c r="D24" s="529"/>
    </row>
    <row r="25" spans="1:6" ht="27.75" customHeight="1" thickBot="1" x14ac:dyDescent="0.3">
      <c r="A25" s="524"/>
      <c r="B25" s="527"/>
      <c r="C25" s="530"/>
      <c r="D25" s="530"/>
    </row>
    <row r="26" spans="1:6" ht="13" thickBot="1" x14ac:dyDescent="0.3">
      <c r="A26" s="249" t="s">
        <v>111</v>
      </c>
      <c r="B26" s="341">
        <f>[1]Maladie!$H$253</f>
        <v>2684.8293950799998</v>
      </c>
      <c r="C26" s="341">
        <f>[1]Maladie!$I$253</f>
        <v>2740.6044712799999</v>
      </c>
      <c r="D26" s="252">
        <f>C26/B26-1</f>
        <v>2.0774160288250965E-2</v>
      </c>
      <c r="E26" s="340">
        <f>C26-B26</f>
        <v>55.775076200000058</v>
      </c>
      <c r="F26" t="s">
        <v>180</v>
      </c>
    </row>
    <row r="27" spans="1:6" ht="13" thickBot="1" x14ac:dyDescent="0.3">
      <c r="A27" s="249" t="s">
        <v>112</v>
      </c>
      <c r="B27" s="341">
        <f>-[1]Vieillesse!$H$54</f>
        <v>-242.91464711</v>
      </c>
      <c r="C27" s="341">
        <f>-[1]Vieillesse!$I$54</f>
        <v>-47.514658859999997</v>
      </c>
      <c r="D27" s="252">
        <f>C27/B27-1</f>
        <v>-0.80439771983579178</v>
      </c>
      <c r="E27" s="340">
        <f t="shared" ref="E27:E28" si="0">C27-B27</f>
        <v>195.39998825000001</v>
      </c>
      <c r="F27" t="s">
        <v>180</v>
      </c>
    </row>
    <row r="28" spans="1:6" ht="13" thickBot="1" x14ac:dyDescent="0.3">
      <c r="A28" s="250" t="s">
        <v>113</v>
      </c>
      <c r="B28" s="341">
        <f>[1]Famille!$H$171</f>
        <v>124.05153402000001</v>
      </c>
      <c r="C28" s="341">
        <f>[1]Famille!$I$171</f>
        <v>48.467233780000001</v>
      </c>
      <c r="D28" s="252">
        <f t="shared" ref="D28" si="1">C28/B28-1</f>
        <v>-0.60929758617748364</v>
      </c>
      <c r="E28" s="340">
        <f t="shared" si="0"/>
        <v>-75.584300240000005</v>
      </c>
      <c r="F28" t="s">
        <v>180</v>
      </c>
    </row>
    <row r="29" spans="1:6" ht="13" thickBot="1" x14ac:dyDescent="0.3">
      <c r="A29" s="251" t="s">
        <v>114</v>
      </c>
      <c r="B29" s="342">
        <f>SUM(B26:B28)</f>
        <v>2565.96628199</v>
      </c>
      <c r="C29" s="342">
        <f>SUM(C26:C28)</f>
        <v>2741.5570461999996</v>
      </c>
      <c r="D29" s="253">
        <f>C29/B29-1</f>
        <v>6.8430659218882139E-2</v>
      </c>
      <c r="E29" s="340">
        <f>C29-B29</f>
        <v>175.59076420999963</v>
      </c>
    </row>
    <row r="30" spans="1:6" x14ac:dyDescent="0.25">
      <c r="A30" s="312"/>
    </row>
    <row r="31" spans="1:6" x14ac:dyDescent="0.25">
      <c r="C31" s="473"/>
    </row>
  </sheetData>
  <mergeCells count="4">
    <mergeCell ref="A23:A25"/>
    <mergeCell ref="B23:B25"/>
    <mergeCell ref="C23:C25"/>
    <mergeCell ref="D23:D2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Bilan SA</vt:lpstr>
      <vt:lpstr>COMPTES SA (Chiffres utiles)</vt:lpstr>
      <vt:lpstr>SA1</vt:lpstr>
      <vt:lpstr>Effectifs</vt:lpstr>
      <vt:lpstr>%charges</vt:lpstr>
      <vt:lpstr>%produits</vt:lpstr>
      <vt:lpstr>%chargesRetraite</vt:lpstr>
      <vt:lpstr>%produitsRetraite</vt:lpstr>
      <vt:lpstr>Résultat net</vt:lpstr>
      <vt:lpstr>'COMPTES SA (Chiffres utiles)'!Zone_d_impression</vt:lpstr>
    </vt:vector>
  </TitlesOfParts>
  <Company>GETIMA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GUERINVA</dc:creator>
  <cp:lastModifiedBy>Claudine Gaillard</cp:lastModifiedBy>
  <cp:lastPrinted>2017-05-15T10:46:48Z</cp:lastPrinted>
  <dcterms:created xsi:type="dcterms:W3CDTF">2012-05-14T13:27:34Z</dcterms:created>
  <dcterms:modified xsi:type="dcterms:W3CDTF">2023-07-19T07:43:33Z</dcterms:modified>
</cp:coreProperties>
</file>