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prévisions SA financement 2021-2025\A diffuser\"/>
    </mc:Choice>
  </mc:AlternateContent>
  <bookViews>
    <workbookView xWindow="0" yWindow="0" windowWidth="10220" windowHeight="2400" tabRatio="730"/>
  </bookViews>
  <sheets>
    <sheet name="Prévisions SA" sheetId="34" r:id="rId1"/>
    <sheet name="EFFECTIFS" sheetId="27" r:id="rId2"/>
    <sheet name="TableauxNote" sheetId="15" r:id="rId3"/>
    <sheet name="Détail CHG PDT" sheetId="28" r:id="rId4"/>
    <sheet name="RESULTAT NET" sheetId="29" r:id="rId5"/>
    <sheet name="RETRAITE" sheetId="32" r:id="rId6"/>
    <sheet name="TCDC SA (Charges)" sheetId="30" r:id="rId7"/>
    <sheet name="CHARGES_PRODUITS" sheetId="1" r:id="rId8"/>
    <sheet name="Prest._cotisa." sheetId="2" r:id="rId9"/>
    <sheet name="SOLDES" sheetId="26" r:id="rId10"/>
    <sheet name="Masse Salariale ND" sheetId="33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B31" i="27" l="1"/>
  <c r="B32" i="27" s="1"/>
  <c r="O14" i="15" l="1"/>
  <c r="N14" i="15"/>
  <c r="M14" i="15"/>
  <c r="L14" i="15"/>
  <c r="L15" i="15"/>
  <c r="M15" i="15"/>
  <c r="N15" i="15"/>
  <c r="O15" i="15"/>
  <c r="L12" i="15"/>
  <c r="M12" i="15"/>
  <c r="N12" i="15" s="1"/>
  <c r="O12" i="15" s="1"/>
  <c r="P12" i="15" s="1"/>
  <c r="Q12" i="15" s="1"/>
  <c r="R12" i="15" s="1"/>
  <c r="R15" i="15"/>
  <c r="Q15" i="15"/>
  <c r="P15" i="15"/>
  <c r="R14" i="15"/>
  <c r="Q14" i="15"/>
  <c r="P14" i="15"/>
  <c r="R13" i="15"/>
  <c r="Q13" i="15"/>
  <c r="P13" i="15"/>
  <c r="L13" i="15"/>
  <c r="M13" i="15"/>
  <c r="N13" i="15"/>
  <c r="O13" i="15"/>
  <c r="M16" i="15" l="1"/>
  <c r="N16" i="15"/>
  <c r="O16" i="15"/>
  <c r="P16" i="15"/>
  <c r="Q16" i="15"/>
  <c r="R16" i="15"/>
  <c r="L16" i="15"/>
  <c r="I8" i="15" l="1"/>
  <c r="H8" i="15"/>
  <c r="G8" i="15"/>
  <c r="F8" i="15"/>
  <c r="E8" i="15"/>
  <c r="D8" i="15"/>
  <c r="C8" i="15"/>
  <c r="A28" i="29" l="1"/>
  <c r="I17" i="15" l="1"/>
  <c r="H17" i="15"/>
  <c r="G17" i="15"/>
  <c r="F17" i="15"/>
  <c r="E17" i="15"/>
  <c r="D17" i="15"/>
  <c r="C17" i="15"/>
  <c r="I13" i="15" l="1"/>
  <c r="H13" i="15"/>
  <c r="G13" i="15"/>
  <c r="F13" i="15"/>
  <c r="E13" i="15"/>
  <c r="D13" i="15"/>
  <c r="C13" i="15"/>
  <c r="L8" i="15" s="1"/>
  <c r="I12" i="15"/>
  <c r="H12" i="15"/>
  <c r="G12" i="15"/>
  <c r="F12" i="15"/>
  <c r="E12" i="15"/>
  <c r="D12" i="15"/>
  <c r="C12" i="15"/>
  <c r="I10" i="15"/>
  <c r="I18" i="15" s="1"/>
  <c r="H10" i="15"/>
  <c r="H18" i="15" s="1"/>
  <c r="G10" i="15"/>
  <c r="G18" i="15" s="1"/>
  <c r="F10" i="15"/>
  <c r="F18" i="15" s="1"/>
  <c r="E10" i="15"/>
  <c r="E18" i="15" s="1"/>
  <c r="D10" i="15"/>
  <c r="D18" i="15" s="1"/>
  <c r="C10" i="15"/>
  <c r="C18" i="15" s="1"/>
  <c r="E19" i="15" l="1"/>
  <c r="F19" i="15"/>
  <c r="O8" i="15"/>
  <c r="B3" i="27" l="1"/>
  <c r="H122" i="33" l="1"/>
  <c r="K118" i="33"/>
  <c r="D118" i="33"/>
  <c r="C118" i="33"/>
  <c r="L118" i="33" s="1"/>
  <c r="K117" i="33"/>
  <c r="D117" i="33"/>
  <c r="C117" i="33"/>
  <c r="L117" i="33" s="1"/>
  <c r="K115" i="33"/>
  <c r="D115" i="33"/>
  <c r="C115" i="33"/>
  <c r="L115" i="33" s="1"/>
  <c r="K114" i="33"/>
  <c r="D114" i="33"/>
  <c r="C114" i="33"/>
  <c r="L114" i="33" s="1"/>
  <c r="K112" i="33"/>
  <c r="D112" i="33"/>
  <c r="C112" i="33"/>
  <c r="L112" i="33" s="1"/>
  <c r="K111" i="33"/>
  <c r="D111" i="33"/>
  <c r="C111" i="33"/>
  <c r="L111" i="33" s="1"/>
  <c r="F110" i="33"/>
  <c r="K109" i="33"/>
  <c r="D109" i="33"/>
  <c r="C109" i="33"/>
  <c r="L109" i="33" s="1"/>
  <c r="K108" i="33"/>
  <c r="D108" i="33"/>
  <c r="C108" i="33"/>
  <c r="L108" i="33" s="1"/>
  <c r="E107" i="33"/>
  <c r="L106" i="33"/>
  <c r="I101" i="33"/>
  <c r="H101" i="33"/>
  <c r="I122" i="33" s="1"/>
  <c r="G101" i="33"/>
  <c r="F101" i="33"/>
  <c r="E101" i="33"/>
  <c r="D101" i="33"/>
  <c r="C101" i="33"/>
  <c r="I100" i="33"/>
  <c r="H100" i="33"/>
  <c r="G100" i="33"/>
  <c r="H121" i="33" s="1"/>
  <c r="F100" i="33"/>
  <c r="G121" i="33" s="1"/>
  <c r="E100" i="33"/>
  <c r="D100" i="33"/>
  <c r="C100" i="33"/>
  <c r="I98" i="33"/>
  <c r="K119" i="33" s="1"/>
  <c r="H98" i="33"/>
  <c r="G98" i="33"/>
  <c r="F98" i="33"/>
  <c r="E98" i="33"/>
  <c r="F119" i="33" s="1"/>
  <c r="D98" i="33"/>
  <c r="D119" i="33" s="1"/>
  <c r="C98" i="33"/>
  <c r="I95" i="33"/>
  <c r="H95" i="33"/>
  <c r="G95" i="33"/>
  <c r="F95" i="33"/>
  <c r="E95" i="33"/>
  <c r="E57" i="33" s="1"/>
  <c r="D95" i="33"/>
  <c r="C95" i="33"/>
  <c r="I92" i="33"/>
  <c r="H92" i="33"/>
  <c r="G92" i="33"/>
  <c r="F92" i="33"/>
  <c r="E92" i="33"/>
  <c r="D92" i="33"/>
  <c r="C92" i="33"/>
  <c r="I89" i="33"/>
  <c r="H89" i="33"/>
  <c r="G89" i="33"/>
  <c r="G99" i="33" s="1"/>
  <c r="F89" i="33"/>
  <c r="F99" i="33" s="1"/>
  <c r="E89" i="33"/>
  <c r="D89" i="33"/>
  <c r="C89" i="33"/>
  <c r="C99" i="33" s="1"/>
  <c r="A87" i="33"/>
  <c r="D86" i="33"/>
  <c r="E86" i="33" s="1"/>
  <c r="F86" i="33" s="1"/>
  <c r="G86" i="33" s="1"/>
  <c r="H86" i="33" s="1"/>
  <c r="I86" i="33" s="1"/>
  <c r="G76" i="33"/>
  <c r="K75" i="33"/>
  <c r="C75" i="33"/>
  <c r="J72" i="33"/>
  <c r="G72" i="33"/>
  <c r="I70" i="33"/>
  <c r="J69" i="33"/>
  <c r="E69" i="33"/>
  <c r="K67" i="33"/>
  <c r="G67" i="33"/>
  <c r="C67" i="33"/>
  <c r="I66" i="33"/>
  <c r="H66" i="33"/>
  <c r="E66" i="33"/>
  <c r="I59" i="33"/>
  <c r="H59" i="33"/>
  <c r="J76" i="33" s="1"/>
  <c r="G59" i="33"/>
  <c r="H76" i="33" s="1"/>
  <c r="F59" i="33"/>
  <c r="E59" i="33"/>
  <c r="E76" i="33" s="1"/>
  <c r="D59" i="33"/>
  <c r="K76" i="33" s="1"/>
  <c r="I58" i="33"/>
  <c r="J75" i="33" s="1"/>
  <c r="H58" i="33"/>
  <c r="G58" i="33"/>
  <c r="H75" i="33" s="1"/>
  <c r="F58" i="33"/>
  <c r="G75" i="33" s="1"/>
  <c r="E58" i="33"/>
  <c r="F75" i="33" s="1"/>
  <c r="D58" i="33"/>
  <c r="I56" i="33"/>
  <c r="J73" i="33" s="1"/>
  <c r="H56" i="33"/>
  <c r="I73" i="33" s="1"/>
  <c r="G56" i="33"/>
  <c r="H73" i="33" s="1"/>
  <c r="F56" i="33"/>
  <c r="E56" i="33"/>
  <c r="F73" i="33" s="1"/>
  <c r="D56" i="33"/>
  <c r="I55" i="33"/>
  <c r="H55" i="33"/>
  <c r="G55" i="33"/>
  <c r="H72" i="33" s="1"/>
  <c r="F55" i="33"/>
  <c r="E55" i="33"/>
  <c r="E72" i="33" s="1"/>
  <c r="D55" i="33"/>
  <c r="I53" i="33"/>
  <c r="H53" i="33"/>
  <c r="G53" i="33"/>
  <c r="F53" i="33"/>
  <c r="E53" i="33"/>
  <c r="F70" i="33" s="1"/>
  <c r="D53" i="33"/>
  <c r="C70" i="33" s="1"/>
  <c r="I52" i="33"/>
  <c r="H52" i="33"/>
  <c r="I69" i="33" s="1"/>
  <c r="G52" i="33"/>
  <c r="H69" i="33" s="1"/>
  <c r="F52" i="33"/>
  <c r="G69" i="33" s="1"/>
  <c r="E52" i="33"/>
  <c r="F69" i="33" s="1"/>
  <c r="D52" i="33"/>
  <c r="I50" i="33"/>
  <c r="J67" i="33" s="1"/>
  <c r="H50" i="33"/>
  <c r="I67" i="33" s="1"/>
  <c r="G50" i="33"/>
  <c r="H67" i="33" s="1"/>
  <c r="F50" i="33"/>
  <c r="E50" i="33"/>
  <c r="F67" i="33" s="1"/>
  <c r="D50" i="33"/>
  <c r="I49" i="33"/>
  <c r="H49" i="33"/>
  <c r="G49" i="33"/>
  <c r="F49" i="33"/>
  <c r="G66" i="33" s="1"/>
  <c r="E49" i="33"/>
  <c r="F66" i="33" s="1"/>
  <c r="D49" i="33"/>
  <c r="C66" i="33" s="1"/>
  <c r="D48" i="33"/>
  <c r="C65" i="33" s="1"/>
  <c r="J41" i="33"/>
  <c r="H38" i="33"/>
  <c r="C38" i="33"/>
  <c r="K37" i="33"/>
  <c r="J37" i="33"/>
  <c r="I37" i="33"/>
  <c r="H37" i="33"/>
  <c r="G37" i="33"/>
  <c r="F37" i="33"/>
  <c r="E37" i="33"/>
  <c r="C37" i="33"/>
  <c r="K36" i="33"/>
  <c r="J36" i="33"/>
  <c r="I36" i="33"/>
  <c r="H36" i="33"/>
  <c r="G36" i="33"/>
  <c r="F36" i="33"/>
  <c r="E36" i="33"/>
  <c r="E38" i="33" s="1"/>
  <c r="C36" i="33"/>
  <c r="I35" i="33"/>
  <c r="E35" i="33"/>
  <c r="K34" i="33"/>
  <c r="J34" i="33"/>
  <c r="I34" i="33"/>
  <c r="H34" i="33"/>
  <c r="G34" i="33"/>
  <c r="F34" i="33"/>
  <c r="E34" i="33"/>
  <c r="C34" i="33"/>
  <c r="K33" i="33"/>
  <c r="J33" i="33"/>
  <c r="I33" i="33"/>
  <c r="H33" i="33"/>
  <c r="G33" i="33"/>
  <c r="F33" i="33"/>
  <c r="E33" i="33"/>
  <c r="C33" i="33"/>
  <c r="K31" i="33"/>
  <c r="J31" i="33"/>
  <c r="I31" i="33"/>
  <c r="H31" i="33"/>
  <c r="G31" i="33"/>
  <c r="F31" i="33"/>
  <c r="E31" i="33"/>
  <c r="E41" i="33" s="1"/>
  <c r="C31" i="33"/>
  <c r="K30" i="33"/>
  <c r="J30" i="33"/>
  <c r="I30" i="33"/>
  <c r="H30" i="33"/>
  <c r="G30" i="33"/>
  <c r="F30" i="33"/>
  <c r="E30" i="33"/>
  <c r="E32" i="33" s="1"/>
  <c r="C30" i="33"/>
  <c r="K28" i="33"/>
  <c r="J28" i="33"/>
  <c r="I28" i="33"/>
  <c r="H28" i="33"/>
  <c r="G28" i="33"/>
  <c r="F28" i="33"/>
  <c r="E28" i="33"/>
  <c r="C28" i="33"/>
  <c r="C41" i="33" s="1"/>
  <c r="K27" i="33"/>
  <c r="J27" i="33"/>
  <c r="I27" i="33"/>
  <c r="H27" i="33"/>
  <c r="G27" i="33"/>
  <c r="F27" i="33"/>
  <c r="E27" i="33"/>
  <c r="E40" i="33" s="1"/>
  <c r="C27" i="33"/>
  <c r="C40" i="33" s="1"/>
  <c r="I22" i="33"/>
  <c r="K41" i="33" s="1"/>
  <c r="H22" i="33"/>
  <c r="I41" i="33" s="1"/>
  <c r="G22" i="33"/>
  <c r="F22" i="33"/>
  <c r="G41" i="33" s="1"/>
  <c r="E22" i="33"/>
  <c r="F41" i="33" s="1"/>
  <c r="D22" i="33"/>
  <c r="I21" i="33"/>
  <c r="J40" i="33" s="1"/>
  <c r="H21" i="33"/>
  <c r="I40" i="33" s="1"/>
  <c r="G21" i="33"/>
  <c r="H40" i="33" s="1"/>
  <c r="F21" i="33"/>
  <c r="G40" i="33" s="1"/>
  <c r="E21" i="33"/>
  <c r="F40" i="33" s="1"/>
  <c r="D21" i="33"/>
  <c r="I19" i="33"/>
  <c r="H19" i="33"/>
  <c r="I38" i="33" s="1"/>
  <c r="G19" i="33"/>
  <c r="G60" i="33" s="1"/>
  <c r="F19" i="33"/>
  <c r="G38" i="33" s="1"/>
  <c r="E19" i="33"/>
  <c r="D19" i="33"/>
  <c r="D60" i="33" s="1"/>
  <c r="C18" i="33"/>
  <c r="D37" i="33" s="1"/>
  <c r="J17" i="33"/>
  <c r="C17" i="33"/>
  <c r="C58" i="33" s="1"/>
  <c r="D75" i="33" s="1"/>
  <c r="I16" i="33"/>
  <c r="K35" i="33" s="1"/>
  <c r="H16" i="33"/>
  <c r="G16" i="33"/>
  <c r="F16" i="33"/>
  <c r="F57" i="33" s="1"/>
  <c r="G74" i="33" s="1"/>
  <c r="E16" i="33"/>
  <c r="E74" i="33" s="1"/>
  <c r="D16" i="33"/>
  <c r="J15" i="33"/>
  <c r="C15" i="33"/>
  <c r="C56" i="33" s="1"/>
  <c r="J14" i="33"/>
  <c r="J16" i="33" s="1"/>
  <c r="C14" i="33"/>
  <c r="D33" i="33" s="1"/>
  <c r="J13" i="33"/>
  <c r="I13" i="33"/>
  <c r="H13" i="33"/>
  <c r="I32" i="33" s="1"/>
  <c r="G13" i="33"/>
  <c r="H32" i="33" s="1"/>
  <c r="F13" i="33"/>
  <c r="G32" i="33" s="1"/>
  <c r="E13" i="33"/>
  <c r="D13" i="33"/>
  <c r="N12" i="33"/>
  <c r="J12" i="33"/>
  <c r="C12" i="33"/>
  <c r="C53" i="33" s="1"/>
  <c r="D70" i="33" s="1"/>
  <c r="N11" i="33"/>
  <c r="N13" i="33" s="1"/>
  <c r="J11" i="33"/>
  <c r="C11" i="33"/>
  <c r="C52" i="33" s="1"/>
  <c r="K10" i="33"/>
  <c r="I10" i="33"/>
  <c r="I51" i="33" s="1"/>
  <c r="H10" i="33"/>
  <c r="H51" i="33" s="1"/>
  <c r="I68" i="33" s="1"/>
  <c r="G10" i="33"/>
  <c r="G51" i="33" s="1"/>
  <c r="F10" i="33"/>
  <c r="G29" i="33" s="1"/>
  <c r="E10" i="33"/>
  <c r="D10" i="33"/>
  <c r="N9" i="33"/>
  <c r="J9" i="33"/>
  <c r="C9" i="33"/>
  <c r="N8" i="33"/>
  <c r="N10" i="33" s="1"/>
  <c r="J8" i="33"/>
  <c r="J10" i="33" s="1"/>
  <c r="C8" i="33"/>
  <c r="C49" i="33" s="1"/>
  <c r="D66" i="33" s="1"/>
  <c r="D7" i="33"/>
  <c r="C26" i="33" s="1"/>
  <c r="N3" i="33"/>
  <c r="E3" i="33"/>
  <c r="N1" i="33"/>
  <c r="E1" i="33"/>
  <c r="D31" i="33" l="1"/>
  <c r="C10" i="33"/>
  <c r="C51" i="33" s="1"/>
  <c r="C22" i="33"/>
  <c r="D41" i="33" s="1"/>
  <c r="C13" i="33"/>
  <c r="C54" i="33" s="1"/>
  <c r="D27" i="33"/>
  <c r="C77" i="33"/>
  <c r="H120" i="33"/>
  <c r="E7" i="33"/>
  <c r="N14" i="33"/>
  <c r="F38" i="33"/>
  <c r="G20" i="33"/>
  <c r="H41" i="33"/>
  <c r="E29" i="33"/>
  <c r="E39" i="33" s="1"/>
  <c r="C32" i="33"/>
  <c r="E68" i="33"/>
  <c r="E51" i="33"/>
  <c r="C16" i="33"/>
  <c r="C57" i="33" s="1"/>
  <c r="H35" i="33"/>
  <c r="G57" i="33"/>
  <c r="H74" i="33" s="1"/>
  <c r="K16" i="33"/>
  <c r="N17" i="33"/>
  <c r="N19" i="33" s="1"/>
  <c r="N18" i="33"/>
  <c r="D20" i="33"/>
  <c r="H20" i="33"/>
  <c r="I39" i="33" s="1"/>
  <c r="C21" i="33"/>
  <c r="D40" i="33" s="1"/>
  <c r="D28" i="33"/>
  <c r="F29" i="33"/>
  <c r="J29" i="33"/>
  <c r="D30" i="33"/>
  <c r="D34" i="33"/>
  <c r="J35" i="33"/>
  <c r="E48" i="33"/>
  <c r="K66" i="33"/>
  <c r="J66" i="33"/>
  <c r="D69" i="33"/>
  <c r="C69" i="33"/>
  <c r="G70" i="33"/>
  <c r="I72" i="33"/>
  <c r="G73" i="33"/>
  <c r="I75" i="33"/>
  <c r="I60" i="33"/>
  <c r="E70" i="33"/>
  <c r="C72" i="33"/>
  <c r="K72" i="33"/>
  <c r="D110" i="33"/>
  <c r="H99" i="33"/>
  <c r="K113" i="33"/>
  <c r="K121" i="33"/>
  <c r="K13" i="33"/>
  <c r="K20" i="33" s="1"/>
  <c r="N15" i="33"/>
  <c r="J18" i="33"/>
  <c r="J19" i="33" s="1"/>
  <c r="I29" i="33"/>
  <c r="E54" i="33"/>
  <c r="F32" i="33"/>
  <c r="E71" i="33"/>
  <c r="I54" i="33"/>
  <c r="J32" i="33"/>
  <c r="C19" i="33"/>
  <c r="C60" i="33" s="1"/>
  <c r="D77" i="33" s="1"/>
  <c r="K19" i="33"/>
  <c r="E20" i="33"/>
  <c r="I20" i="33"/>
  <c r="C29" i="33"/>
  <c r="K29" i="33"/>
  <c r="K32" i="33"/>
  <c r="K40" i="33"/>
  <c r="C50" i="33"/>
  <c r="D67" i="33" s="1"/>
  <c r="D51" i="33"/>
  <c r="K68" i="33" s="1"/>
  <c r="K69" i="33"/>
  <c r="F54" i="33"/>
  <c r="J68" i="33"/>
  <c r="H70" i="33"/>
  <c r="F72" i="33"/>
  <c r="E73" i="33"/>
  <c r="E99" i="33"/>
  <c r="G120" i="33" s="1"/>
  <c r="I99" i="33"/>
  <c r="F20" i="33"/>
  <c r="G39" i="33" s="1"/>
  <c r="H29" i="33"/>
  <c r="F35" i="33"/>
  <c r="D36" i="33"/>
  <c r="G54" i="33"/>
  <c r="H71" i="33" s="1"/>
  <c r="D73" i="33"/>
  <c r="C73" i="33"/>
  <c r="I57" i="33"/>
  <c r="C59" i="33"/>
  <c r="D76" i="33" s="1"/>
  <c r="E60" i="33"/>
  <c r="F77" i="33" s="1"/>
  <c r="C76" i="33"/>
  <c r="F51" i="33"/>
  <c r="G68" i="33" s="1"/>
  <c r="D116" i="33"/>
  <c r="D57" i="33"/>
  <c r="F74" i="33" s="1"/>
  <c r="H57" i="33"/>
  <c r="I74" i="33" s="1"/>
  <c r="D122" i="33"/>
  <c r="C122" i="33"/>
  <c r="G35" i="33"/>
  <c r="J38" i="33"/>
  <c r="C35" i="33"/>
  <c r="K38" i="33"/>
  <c r="K70" i="33"/>
  <c r="J70" i="33"/>
  <c r="C55" i="33"/>
  <c r="D72" i="33" s="1"/>
  <c r="K73" i="33"/>
  <c r="I76" i="33"/>
  <c r="H60" i="33"/>
  <c r="I77" i="33" s="1"/>
  <c r="F76" i="33"/>
  <c r="E77" i="33"/>
  <c r="F113" i="33"/>
  <c r="D113" i="33"/>
  <c r="D54" i="33"/>
  <c r="H54" i="33"/>
  <c r="I71" i="33" s="1"/>
  <c r="F116" i="33"/>
  <c r="K116" i="33"/>
  <c r="F60" i="33"/>
  <c r="G77" i="33" s="1"/>
  <c r="F121" i="33"/>
  <c r="D121" i="33"/>
  <c r="C121" i="33"/>
  <c r="J121" i="33"/>
  <c r="I121" i="33"/>
  <c r="G122" i="33"/>
  <c r="F122" i="33"/>
  <c r="K122" i="33"/>
  <c r="E67" i="33"/>
  <c r="E75" i="33"/>
  <c r="D99" i="33"/>
  <c r="E108" i="33"/>
  <c r="C110" i="33"/>
  <c r="K110" i="33"/>
  <c r="E111" i="33"/>
  <c r="C113" i="33"/>
  <c r="L113" i="33" s="1"/>
  <c r="E114" i="33"/>
  <c r="E116" i="33" s="1"/>
  <c r="C116" i="33"/>
  <c r="L116" i="33" s="1"/>
  <c r="E117" i="33"/>
  <c r="C119" i="33"/>
  <c r="L119" i="33" s="1"/>
  <c r="E109" i="33"/>
  <c r="E112" i="33"/>
  <c r="E115" i="33"/>
  <c r="E118" i="33"/>
  <c r="J122" i="33"/>
  <c r="D29" i="33" l="1"/>
  <c r="D32" i="33"/>
  <c r="D35" i="33"/>
  <c r="L122" i="33"/>
  <c r="C80" i="33"/>
  <c r="F39" i="33"/>
  <c r="O11" i="33"/>
  <c r="O17" i="33"/>
  <c r="O20" i="33"/>
  <c r="N16" i="33"/>
  <c r="E4" i="33"/>
  <c r="F61" i="33"/>
  <c r="C20" i="33"/>
  <c r="C61" i="33" s="1"/>
  <c r="E122" i="33"/>
  <c r="E80" i="33" s="1"/>
  <c r="F80" i="33" s="1"/>
  <c r="C120" i="33"/>
  <c r="L110" i="33"/>
  <c r="K74" i="33"/>
  <c r="J74" i="33"/>
  <c r="K120" i="33"/>
  <c r="J120" i="33"/>
  <c r="I61" i="33"/>
  <c r="D68" i="33"/>
  <c r="C68" i="33"/>
  <c r="F68" i="33"/>
  <c r="E26" i="33"/>
  <c r="F7" i="33"/>
  <c r="G7" i="33" s="1"/>
  <c r="H7" i="33" s="1"/>
  <c r="I7" i="33" s="1"/>
  <c r="N2" i="33"/>
  <c r="N4" i="33"/>
  <c r="E121" i="33"/>
  <c r="E79" i="33" s="1"/>
  <c r="E110" i="33"/>
  <c r="C71" i="33"/>
  <c r="D71" i="33"/>
  <c r="F120" i="33"/>
  <c r="E61" i="33"/>
  <c r="F78" i="33" s="1"/>
  <c r="E78" i="33"/>
  <c r="C39" i="33"/>
  <c r="L29" i="33"/>
  <c r="H77" i="33"/>
  <c r="F71" i="33"/>
  <c r="H61" i="33"/>
  <c r="I120" i="33"/>
  <c r="E65" i="33"/>
  <c r="F48" i="33"/>
  <c r="G48" i="33" s="1"/>
  <c r="H48" i="33" s="1"/>
  <c r="I48" i="33" s="1"/>
  <c r="H39" i="33"/>
  <c r="G61" i="33"/>
  <c r="H78" i="33" s="1"/>
  <c r="O14" i="33"/>
  <c r="E119" i="33"/>
  <c r="E113" i="33"/>
  <c r="D120" i="33"/>
  <c r="D61" i="33"/>
  <c r="L121" i="33"/>
  <c r="C79" i="33"/>
  <c r="C74" i="33"/>
  <c r="D74" i="33"/>
  <c r="G71" i="33"/>
  <c r="K39" i="33"/>
  <c r="J39" i="33"/>
  <c r="J71" i="33"/>
  <c r="K71" i="33"/>
  <c r="K77" i="33"/>
  <c r="J77" i="33"/>
  <c r="D38" i="33"/>
  <c r="L32" i="33"/>
  <c r="E2" i="33"/>
  <c r="H68" i="33"/>
  <c r="D39" i="33" l="1"/>
  <c r="E120" i="33"/>
  <c r="F79" i="33"/>
  <c r="K78" i="33"/>
  <c r="J78" i="33"/>
  <c r="I78" i="33"/>
  <c r="L41" i="33"/>
  <c r="L39" i="33"/>
  <c r="L36" i="33"/>
  <c r="L31" i="33"/>
  <c r="L27" i="33"/>
  <c r="L34" i="33"/>
  <c r="L40" i="33"/>
  <c r="L37" i="33"/>
  <c r="L30" i="33"/>
  <c r="L38" i="33"/>
  <c r="L28" i="33"/>
  <c r="L33" i="33"/>
  <c r="G78" i="33"/>
  <c r="C78" i="33"/>
  <c r="D78" i="33"/>
  <c r="L120" i="33"/>
  <c r="O23" i="33"/>
  <c r="L35" i="33"/>
  <c r="I47" i="30" l="1"/>
  <c r="H47" i="30"/>
  <c r="G47" i="30"/>
  <c r="F47" i="30"/>
  <c r="E47" i="30"/>
  <c r="D47" i="30"/>
  <c r="C47" i="30"/>
  <c r="B47" i="30"/>
  <c r="I46" i="30"/>
  <c r="H46" i="30"/>
  <c r="G46" i="30"/>
  <c r="F46" i="30"/>
  <c r="E46" i="30"/>
  <c r="D46" i="30"/>
  <c r="C46" i="30"/>
  <c r="B46" i="30"/>
  <c r="I45" i="30"/>
  <c r="H45" i="30"/>
  <c r="G45" i="30"/>
  <c r="F45" i="30"/>
  <c r="E45" i="30"/>
  <c r="D45" i="30"/>
  <c r="C45" i="30"/>
  <c r="B45" i="30"/>
  <c r="I44" i="30"/>
  <c r="H44" i="30"/>
  <c r="G44" i="30"/>
  <c r="F44" i="30"/>
  <c r="E44" i="30"/>
  <c r="D44" i="30"/>
  <c r="C44" i="30"/>
  <c r="B44" i="30"/>
  <c r="I41" i="30"/>
  <c r="H41" i="30"/>
  <c r="G41" i="30"/>
  <c r="F41" i="30"/>
  <c r="E41" i="30"/>
  <c r="D41" i="30"/>
  <c r="C41" i="30"/>
  <c r="B41" i="30"/>
  <c r="I40" i="30"/>
  <c r="H40" i="30"/>
  <c r="G40" i="30"/>
  <c r="F40" i="30"/>
  <c r="E40" i="30"/>
  <c r="D40" i="30"/>
  <c r="C40" i="30"/>
  <c r="B40" i="30"/>
  <c r="I39" i="30"/>
  <c r="H39" i="30"/>
  <c r="G39" i="30"/>
  <c r="F39" i="30"/>
  <c r="E39" i="30"/>
  <c r="D39" i="30"/>
  <c r="C39" i="30"/>
  <c r="B39" i="30"/>
  <c r="I38" i="30"/>
  <c r="H38" i="30"/>
  <c r="G38" i="30"/>
  <c r="F38" i="30"/>
  <c r="E38" i="30"/>
  <c r="D38" i="30"/>
  <c r="C38" i="30"/>
  <c r="B38" i="30"/>
  <c r="I35" i="30"/>
  <c r="H35" i="30"/>
  <c r="G35" i="30"/>
  <c r="F35" i="30"/>
  <c r="E35" i="30"/>
  <c r="D35" i="30"/>
  <c r="C35" i="30"/>
  <c r="B35" i="30"/>
  <c r="I34" i="30"/>
  <c r="H34" i="30"/>
  <c r="G34" i="30"/>
  <c r="F34" i="30"/>
  <c r="E34" i="30"/>
  <c r="D34" i="30"/>
  <c r="C34" i="30"/>
  <c r="B34" i="30"/>
  <c r="I33" i="30"/>
  <c r="H33" i="30"/>
  <c r="G33" i="30"/>
  <c r="F33" i="30"/>
  <c r="E33" i="30"/>
  <c r="D33" i="30"/>
  <c r="C33" i="30"/>
  <c r="B33" i="30"/>
  <c r="I32" i="30"/>
  <c r="H32" i="30"/>
  <c r="G32" i="30"/>
  <c r="F32" i="30"/>
  <c r="E32" i="30"/>
  <c r="D32" i="30"/>
  <c r="C32" i="30"/>
  <c r="B32" i="30"/>
  <c r="I29" i="30"/>
  <c r="H29" i="30"/>
  <c r="G29" i="30"/>
  <c r="F29" i="30"/>
  <c r="E29" i="30"/>
  <c r="D29" i="30"/>
  <c r="C29" i="30"/>
  <c r="B29" i="30"/>
  <c r="I28" i="30"/>
  <c r="H28" i="30"/>
  <c r="G28" i="30"/>
  <c r="F28" i="30"/>
  <c r="E28" i="30"/>
  <c r="D28" i="30"/>
  <c r="C28" i="30"/>
  <c r="B28" i="30"/>
  <c r="I27" i="30"/>
  <c r="H27" i="30"/>
  <c r="G27" i="30"/>
  <c r="F27" i="30"/>
  <c r="E27" i="30"/>
  <c r="D27" i="30"/>
  <c r="C27" i="30"/>
  <c r="B27" i="30"/>
  <c r="I26" i="30"/>
  <c r="H26" i="30"/>
  <c r="G26" i="30"/>
  <c r="F26" i="30"/>
  <c r="E26" i="30"/>
  <c r="D26" i="30"/>
  <c r="C26" i="30"/>
  <c r="B26" i="30"/>
  <c r="I21" i="30"/>
  <c r="H21" i="30"/>
  <c r="G21" i="30"/>
  <c r="F21" i="30"/>
  <c r="E21" i="30"/>
  <c r="D21" i="30"/>
  <c r="C21" i="30"/>
  <c r="B21" i="30"/>
  <c r="I20" i="30"/>
  <c r="H20" i="30"/>
  <c r="G20" i="30"/>
  <c r="F20" i="30"/>
  <c r="E20" i="30"/>
  <c r="D20" i="30"/>
  <c r="C20" i="30"/>
  <c r="B20" i="30"/>
  <c r="I19" i="30"/>
  <c r="H19" i="30"/>
  <c r="G19" i="30"/>
  <c r="F19" i="30"/>
  <c r="E19" i="30"/>
  <c r="D19" i="30"/>
  <c r="C19" i="30"/>
  <c r="B19" i="30"/>
  <c r="I18" i="30"/>
  <c r="H18" i="30"/>
  <c r="G18" i="30"/>
  <c r="F18" i="30"/>
  <c r="E18" i="30"/>
  <c r="D18" i="30"/>
  <c r="C18" i="30"/>
  <c r="B18" i="30"/>
  <c r="I15" i="30"/>
  <c r="H15" i="30"/>
  <c r="G15" i="30"/>
  <c r="F15" i="30"/>
  <c r="E15" i="30"/>
  <c r="D15" i="30"/>
  <c r="C15" i="30"/>
  <c r="B15" i="30"/>
  <c r="I14" i="30"/>
  <c r="H14" i="30"/>
  <c r="G14" i="30"/>
  <c r="F14" i="30"/>
  <c r="E14" i="30"/>
  <c r="D14" i="30"/>
  <c r="C14" i="30"/>
  <c r="B14" i="30"/>
  <c r="I13" i="30"/>
  <c r="H13" i="30"/>
  <c r="G13" i="30"/>
  <c r="F13" i="30"/>
  <c r="E13" i="30"/>
  <c r="D13" i="30"/>
  <c r="C13" i="30"/>
  <c r="B13" i="30"/>
  <c r="I12" i="30"/>
  <c r="H12" i="30"/>
  <c r="G12" i="30"/>
  <c r="F12" i="30"/>
  <c r="E12" i="30"/>
  <c r="D12" i="30"/>
  <c r="C12" i="30"/>
  <c r="B12" i="30"/>
  <c r="I9" i="30"/>
  <c r="H9" i="30"/>
  <c r="G9" i="30"/>
  <c r="F9" i="30"/>
  <c r="E9" i="30"/>
  <c r="D9" i="30"/>
  <c r="C9" i="30"/>
  <c r="B9" i="30"/>
  <c r="I8" i="30"/>
  <c r="H8" i="30"/>
  <c r="G8" i="30"/>
  <c r="F8" i="30"/>
  <c r="E8" i="30"/>
  <c r="D8" i="30"/>
  <c r="C8" i="30"/>
  <c r="B8" i="30"/>
  <c r="I7" i="30"/>
  <c r="H7" i="30"/>
  <c r="G7" i="30"/>
  <c r="F7" i="30"/>
  <c r="E7" i="30"/>
  <c r="D7" i="30"/>
  <c r="C7" i="30"/>
  <c r="B7" i="30"/>
  <c r="I6" i="30"/>
  <c r="H6" i="30"/>
  <c r="G6" i="30"/>
  <c r="F6" i="30"/>
  <c r="E6" i="30"/>
  <c r="D6" i="30"/>
  <c r="C6" i="30"/>
  <c r="B6" i="30"/>
  <c r="C2" i="30"/>
  <c r="D2" i="30" s="1"/>
  <c r="E2" i="30" s="1"/>
  <c r="F2" i="30" s="1"/>
  <c r="G2" i="30" s="1"/>
  <c r="H2" i="30" s="1"/>
  <c r="H49" i="28"/>
  <c r="G49" i="28"/>
  <c r="F49" i="28"/>
  <c r="E49" i="28"/>
  <c r="D49" i="28"/>
  <c r="C49" i="28"/>
  <c r="B49" i="28"/>
  <c r="H48" i="28"/>
  <c r="G48" i="28"/>
  <c r="F48" i="28"/>
  <c r="E48" i="28"/>
  <c r="D48" i="28"/>
  <c r="C48" i="28"/>
  <c r="B48" i="28"/>
  <c r="H47" i="28"/>
  <c r="G47" i="28"/>
  <c r="F47" i="28"/>
  <c r="E47" i="28"/>
  <c r="D47" i="28"/>
  <c r="C47" i="28"/>
  <c r="B47" i="28"/>
  <c r="H46" i="28"/>
  <c r="G46" i="28"/>
  <c r="F46" i="28"/>
  <c r="E46" i="28"/>
  <c r="D46" i="28"/>
  <c r="C46" i="28"/>
  <c r="B46" i="28"/>
  <c r="H43" i="28"/>
  <c r="G43" i="28"/>
  <c r="F43" i="28"/>
  <c r="E43" i="28"/>
  <c r="D43" i="28"/>
  <c r="C43" i="28"/>
  <c r="B43" i="28"/>
  <c r="H42" i="28"/>
  <c r="G42" i="28"/>
  <c r="F42" i="28"/>
  <c r="E42" i="28"/>
  <c r="D42" i="28"/>
  <c r="C42" i="28"/>
  <c r="B42" i="28"/>
  <c r="H41" i="28"/>
  <c r="G41" i="28"/>
  <c r="F41" i="28"/>
  <c r="E41" i="28"/>
  <c r="D41" i="28"/>
  <c r="C41" i="28"/>
  <c r="B41" i="28"/>
  <c r="H40" i="28"/>
  <c r="G40" i="28"/>
  <c r="F40" i="28"/>
  <c r="E40" i="28"/>
  <c r="D40" i="28"/>
  <c r="C40" i="28"/>
  <c r="B40" i="28"/>
  <c r="H34" i="28"/>
  <c r="G34" i="28"/>
  <c r="F34" i="28"/>
  <c r="E34" i="28"/>
  <c r="D34" i="28"/>
  <c r="C34" i="28"/>
  <c r="B34" i="28"/>
  <c r="H31" i="28"/>
  <c r="G31" i="28"/>
  <c r="F31" i="28"/>
  <c r="E31" i="28"/>
  <c r="D31" i="28"/>
  <c r="C31" i="28"/>
  <c r="B31" i="28"/>
  <c r="H30" i="28"/>
  <c r="G30" i="28"/>
  <c r="F30" i="28"/>
  <c r="E30" i="28"/>
  <c r="D30" i="28"/>
  <c r="C30" i="28"/>
  <c r="B30" i="28"/>
  <c r="H29" i="28"/>
  <c r="G29" i="28"/>
  <c r="F29" i="28"/>
  <c r="E29" i="28"/>
  <c r="D29" i="28"/>
  <c r="C29" i="28"/>
  <c r="B29" i="28"/>
  <c r="H28" i="28"/>
  <c r="G28" i="28"/>
  <c r="F28" i="28"/>
  <c r="E28" i="28"/>
  <c r="D28" i="28"/>
  <c r="C28" i="28"/>
  <c r="B28" i="28"/>
  <c r="H25" i="28"/>
  <c r="G25" i="28"/>
  <c r="F25" i="28"/>
  <c r="E25" i="28"/>
  <c r="D25" i="28"/>
  <c r="C25" i="28"/>
  <c r="B25" i="28"/>
  <c r="H19" i="28"/>
  <c r="G19" i="28"/>
  <c r="F19" i="28"/>
  <c r="E19" i="28"/>
  <c r="D19" i="28"/>
  <c r="C19" i="28"/>
  <c r="B19" i="28"/>
  <c r="H18" i="28"/>
  <c r="G18" i="28"/>
  <c r="F18" i="28"/>
  <c r="E18" i="28"/>
  <c r="D18" i="28"/>
  <c r="C18" i="28"/>
  <c r="B18" i="28"/>
  <c r="H17" i="28"/>
  <c r="G17" i="28"/>
  <c r="F17" i="28"/>
  <c r="E17" i="28"/>
  <c r="D17" i="28"/>
  <c r="C17" i="28"/>
  <c r="B17" i="28"/>
  <c r="H16" i="28"/>
  <c r="G16" i="28"/>
  <c r="F16" i="28"/>
  <c r="E16" i="28"/>
  <c r="D16" i="28"/>
  <c r="C16" i="28"/>
  <c r="B16" i="28"/>
  <c r="I44" i="15" l="1"/>
  <c r="H44" i="15"/>
  <c r="G44" i="15"/>
  <c r="F44" i="15"/>
  <c r="E44" i="15"/>
  <c r="D44" i="15"/>
  <c r="C44" i="15"/>
  <c r="I45" i="15"/>
  <c r="H45" i="15"/>
  <c r="G45" i="15"/>
  <c r="F45" i="15"/>
  <c r="E45" i="15"/>
  <c r="D45" i="15"/>
  <c r="C45" i="15"/>
  <c r="I46" i="15"/>
  <c r="H46" i="15"/>
  <c r="G46" i="15"/>
  <c r="F46" i="15"/>
  <c r="E46" i="15"/>
  <c r="D46" i="15"/>
  <c r="C46" i="15"/>
  <c r="I47" i="15"/>
  <c r="H47" i="15"/>
  <c r="G47" i="15"/>
  <c r="F47" i="15"/>
  <c r="E47" i="15"/>
  <c r="D47" i="15"/>
  <c r="C47" i="15"/>
  <c r="I41" i="15"/>
  <c r="H41" i="15"/>
  <c r="G41" i="15"/>
  <c r="F41" i="15"/>
  <c r="F38" i="15"/>
  <c r="E41" i="15"/>
  <c r="D41" i="15"/>
  <c r="C41" i="15"/>
  <c r="E40" i="15"/>
  <c r="F40" i="15"/>
  <c r="G40" i="15"/>
  <c r="H40" i="15"/>
  <c r="I40" i="15"/>
  <c r="D40" i="15"/>
  <c r="C40" i="15"/>
  <c r="I39" i="15"/>
  <c r="H39" i="15"/>
  <c r="G39" i="15"/>
  <c r="F39" i="15"/>
  <c r="E39" i="15"/>
  <c r="D39" i="15"/>
  <c r="C39" i="15"/>
  <c r="I38" i="15"/>
  <c r="H38" i="15"/>
  <c r="G38" i="15"/>
  <c r="E38" i="15"/>
  <c r="D38" i="15"/>
  <c r="C38" i="15"/>
  <c r="I11" i="15" l="1"/>
  <c r="H11" i="15"/>
  <c r="G11" i="15"/>
  <c r="F11" i="15"/>
  <c r="E11" i="15"/>
  <c r="D11" i="15"/>
  <c r="C11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H3" i="27" l="1"/>
  <c r="G3" i="27"/>
  <c r="F3" i="27"/>
  <c r="E3" i="27"/>
  <c r="D3" i="27"/>
  <c r="C3" i="27"/>
  <c r="B6" i="27" l="1"/>
  <c r="C6" i="27"/>
  <c r="D6" i="27"/>
  <c r="E6" i="27"/>
  <c r="F6" i="27"/>
  <c r="G6" i="27"/>
  <c r="H6" i="27"/>
  <c r="H5" i="27"/>
  <c r="G5" i="27"/>
  <c r="F5" i="27"/>
  <c r="E5" i="27"/>
  <c r="D5" i="27"/>
  <c r="C5" i="27"/>
  <c r="B5" i="27"/>
  <c r="B4" i="27"/>
  <c r="C4" i="27"/>
  <c r="D4" i="27"/>
  <c r="E4" i="27"/>
  <c r="F4" i="27"/>
  <c r="G4" i="27"/>
  <c r="H4" i="27"/>
  <c r="H2" i="27"/>
  <c r="G2" i="27"/>
  <c r="F2" i="27"/>
  <c r="E2" i="27"/>
  <c r="D2" i="27"/>
  <c r="C2" i="27"/>
  <c r="B2" i="27"/>
  <c r="I16" i="15" l="1"/>
  <c r="F16" i="15"/>
  <c r="E16" i="15"/>
  <c r="C16" i="15" l="1"/>
  <c r="G16" i="15" l="1"/>
  <c r="D16" i="15" l="1"/>
  <c r="H16" i="15"/>
  <c r="H25" i="15" l="1"/>
  <c r="N8" i="15" l="1"/>
  <c r="D8" i="1" l="1"/>
  <c r="H31" i="30" l="1"/>
  <c r="H37" i="30" l="1"/>
  <c r="J15" i="30"/>
  <c r="H4" i="30" l="1"/>
  <c r="I2" i="30"/>
  <c r="B7" i="32"/>
  <c r="B20" i="32"/>
  <c r="D10" i="1" l="1"/>
  <c r="D6" i="1"/>
  <c r="D9" i="15" l="1"/>
  <c r="C1" i="27" l="1"/>
  <c r="D1" i="27" s="1"/>
  <c r="E1" i="27" s="1"/>
  <c r="F1" i="27" s="1"/>
  <c r="G1" i="27" s="1"/>
  <c r="H15" i="27" l="1"/>
  <c r="B11" i="27"/>
  <c r="C15" i="27"/>
  <c r="B69" i="30"/>
  <c r="B68" i="30"/>
  <c r="C53" i="15"/>
  <c r="D67" i="30"/>
  <c r="I48" i="15"/>
  <c r="H30" i="15" l="1"/>
  <c r="E18" i="2"/>
  <c r="F18" i="2"/>
  <c r="G18" i="2"/>
  <c r="H18" i="2"/>
  <c r="I18" i="2"/>
  <c r="D17" i="1"/>
  <c r="E17" i="1"/>
  <c r="F17" i="1"/>
  <c r="G17" i="1"/>
  <c r="H17" i="1"/>
  <c r="C14" i="32"/>
  <c r="D14" i="32"/>
  <c r="E14" i="32"/>
  <c r="F14" i="32"/>
  <c r="G14" i="32"/>
  <c r="C14" i="29"/>
  <c r="D14" i="29"/>
  <c r="E14" i="29"/>
  <c r="F14" i="29"/>
  <c r="G14" i="29"/>
  <c r="C38" i="28" l="1"/>
  <c r="F32" i="28"/>
  <c r="E32" i="28"/>
  <c r="B26" i="28"/>
  <c r="C4" i="28"/>
  <c r="H61" i="15"/>
  <c r="E61" i="15"/>
  <c r="D61" i="15"/>
  <c r="H60" i="15"/>
  <c r="G60" i="15"/>
  <c r="F60" i="15"/>
  <c r="D60" i="15"/>
  <c r="H59" i="15"/>
  <c r="E59" i="15"/>
  <c r="H58" i="15"/>
  <c r="F58" i="15"/>
  <c r="C12" i="28"/>
  <c r="C10" i="28"/>
  <c r="C9" i="28"/>
  <c r="C5" i="28"/>
  <c r="C3" i="28"/>
  <c r="E20" i="28" l="1"/>
  <c r="M7" i="15"/>
  <c r="D58" i="15"/>
  <c r="F61" i="15"/>
  <c r="C11" i="28"/>
  <c r="B32" i="28"/>
  <c r="F59" i="15"/>
  <c r="D59" i="15"/>
  <c r="G59" i="15"/>
  <c r="E60" i="15"/>
  <c r="G61" i="15"/>
  <c r="C32" i="28"/>
  <c r="G32" i="28"/>
  <c r="D32" i="28"/>
  <c r="H32" i="28"/>
  <c r="H44" i="28"/>
  <c r="M6" i="15"/>
  <c r="C21" i="28"/>
  <c r="M8" i="15"/>
  <c r="B9" i="28"/>
  <c r="C8" i="1"/>
  <c r="C58" i="15"/>
  <c r="M5" i="15"/>
  <c r="E58" i="15"/>
  <c r="G58" i="15"/>
  <c r="C27" i="15"/>
  <c r="C7" i="28" l="1"/>
  <c r="L4" i="15"/>
  <c r="M4" i="15" s="1"/>
  <c r="H52" i="15"/>
  <c r="G52" i="15"/>
  <c r="F52" i="15"/>
  <c r="E52" i="15"/>
  <c r="D52" i="15"/>
  <c r="C52" i="15"/>
  <c r="C9" i="1"/>
  <c r="C24" i="15" l="1"/>
  <c r="B4" i="28"/>
  <c r="C22" i="15"/>
  <c r="L5" i="15"/>
  <c r="B10" i="28"/>
  <c r="C28" i="15"/>
  <c r="L6" i="15"/>
  <c r="B12" i="28"/>
  <c r="C30" i="15"/>
  <c r="B3" i="28"/>
  <c r="C23" i="15"/>
  <c r="H12" i="27"/>
  <c r="H13" i="27"/>
  <c r="H14" i="27"/>
  <c r="H11" i="27"/>
  <c r="G11" i="27"/>
  <c r="G12" i="27"/>
  <c r="G13" i="27"/>
  <c r="G14" i="27"/>
  <c r="G15" i="27"/>
  <c r="F11" i="27"/>
  <c r="H1" i="27"/>
  <c r="M29" i="30" l="1"/>
  <c r="M15" i="30"/>
  <c r="L9" i="30"/>
  <c r="M46" i="30"/>
  <c r="L40" i="30"/>
  <c r="M34" i="30"/>
  <c r="F43" i="30"/>
  <c r="O20" i="30" l="1"/>
  <c r="O15" i="30"/>
  <c r="O41" i="30"/>
  <c r="N9" i="30"/>
  <c r="N28" i="30"/>
  <c r="N45" i="30"/>
  <c r="N21" i="30"/>
  <c r="N47" i="30"/>
  <c r="N40" i="30"/>
  <c r="O46" i="30"/>
  <c r="O39" i="30"/>
  <c r="N14" i="30"/>
  <c r="M20" i="30"/>
  <c r="L28" i="30"/>
  <c r="O34" i="30"/>
  <c r="M13" i="30"/>
  <c r="O33" i="30"/>
  <c r="N39" i="30"/>
  <c r="M45" i="30"/>
  <c r="O14" i="30"/>
  <c r="N20" i="30"/>
  <c r="M28" i="30"/>
  <c r="L34" i="30"/>
  <c r="O40" i="30"/>
  <c r="N46" i="30"/>
  <c r="M9" i="30"/>
  <c r="N15" i="30"/>
  <c r="M21" i="30"/>
  <c r="L29" i="30"/>
  <c r="O35" i="30"/>
  <c r="N41" i="30"/>
  <c r="M47" i="30"/>
  <c r="O47" i="30"/>
  <c r="L33" i="30"/>
  <c r="N33" i="30"/>
  <c r="M39" i="30"/>
  <c r="L45" i="30"/>
  <c r="L13" i="30"/>
  <c r="L21" i="30"/>
  <c r="O29" i="30"/>
  <c r="N35" i="30"/>
  <c r="M41" i="30"/>
  <c r="L47" i="30"/>
  <c r="L35" i="30"/>
  <c r="N13" i="30"/>
  <c r="O13" i="30"/>
  <c r="M33" i="30"/>
  <c r="L39" i="30"/>
  <c r="O45" i="30"/>
  <c r="M14" i="30"/>
  <c r="L20" i="30"/>
  <c r="O28" i="30"/>
  <c r="N34" i="30"/>
  <c r="M40" i="30"/>
  <c r="L46" i="30"/>
  <c r="C70" i="30"/>
  <c r="O9" i="30"/>
  <c r="L15" i="30"/>
  <c r="O21" i="30"/>
  <c r="N29" i="30"/>
  <c r="M35" i="30"/>
  <c r="L41" i="30"/>
  <c r="L6" i="30" l="1"/>
  <c r="N18" i="30"/>
  <c r="M26" i="30"/>
  <c r="L32" i="30"/>
  <c r="O38" i="30"/>
  <c r="L44" i="30"/>
  <c r="M7" i="30"/>
  <c r="L19" i="30"/>
  <c r="N12" i="30"/>
  <c r="L18" i="30"/>
  <c r="O26" i="30"/>
  <c r="N32" i="30"/>
  <c r="M38" i="30"/>
  <c r="N44" i="30"/>
  <c r="C68" i="30"/>
  <c r="O7" i="30"/>
  <c r="N19" i="30"/>
  <c r="N6" i="30"/>
  <c r="F67" i="30"/>
  <c r="L12" i="30"/>
  <c r="M6" i="30"/>
  <c r="E67" i="30"/>
  <c r="O12" i="30"/>
  <c r="O18" i="30"/>
  <c r="N26" i="30"/>
  <c r="M32" i="30"/>
  <c r="L38" i="30"/>
  <c r="O44" i="30"/>
  <c r="N7" i="30"/>
  <c r="M19" i="30"/>
  <c r="C67" i="30"/>
  <c r="G67" i="30"/>
  <c r="O6" i="30"/>
  <c r="M12" i="30"/>
  <c r="M18" i="30"/>
  <c r="L26" i="30"/>
  <c r="O32" i="30"/>
  <c r="N38" i="30"/>
  <c r="M44" i="30"/>
  <c r="L7" i="30"/>
  <c r="O19" i="30"/>
  <c r="C55" i="30"/>
  <c r="C66" i="30" s="1"/>
  <c r="D55" i="30"/>
  <c r="D66" i="30" s="1"/>
  <c r="E55" i="30"/>
  <c r="E66" i="30" s="1"/>
  <c r="F55" i="30"/>
  <c r="F66" i="30" s="1"/>
  <c r="G55" i="30"/>
  <c r="G66" i="30" s="1"/>
  <c r="B55" i="30"/>
  <c r="B66" i="30" s="1"/>
  <c r="K2" i="30"/>
  <c r="L2" i="30"/>
  <c r="M2" i="30"/>
  <c r="N2" i="30"/>
  <c r="O2" i="30"/>
  <c r="J2" i="30"/>
  <c r="K15" i="30" l="1"/>
  <c r="J27" i="30" l="1"/>
  <c r="K33" i="30"/>
  <c r="J33" i="30"/>
  <c r="J20" i="30"/>
  <c r="K20" i="30"/>
  <c r="J46" i="30"/>
  <c r="K46" i="30"/>
  <c r="J35" i="30"/>
  <c r="K35" i="30"/>
  <c r="J14" i="30"/>
  <c r="K40" i="30"/>
  <c r="J40" i="30"/>
  <c r="K29" i="30"/>
  <c r="J29" i="30"/>
  <c r="J19" i="30"/>
  <c r="K19" i="30"/>
  <c r="J45" i="30"/>
  <c r="K45" i="30"/>
  <c r="J34" i="30"/>
  <c r="K34" i="30"/>
  <c r="J21" i="30"/>
  <c r="K21" i="30"/>
  <c r="K47" i="30"/>
  <c r="J47" i="30"/>
  <c r="J39" i="30"/>
  <c r="K39" i="30"/>
  <c r="K28" i="30"/>
  <c r="J28" i="30"/>
  <c r="K41" i="30"/>
  <c r="J41" i="30"/>
  <c r="E43" i="30"/>
  <c r="C79" i="30" s="1"/>
  <c r="E37" i="30"/>
  <c r="C78" i="30" s="1"/>
  <c r="E31" i="30"/>
  <c r="C81" i="30" s="1"/>
  <c r="E25" i="30"/>
  <c r="C82" i="30" s="1"/>
  <c r="E17" i="30"/>
  <c r="K12" i="30" l="1"/>
  <c r="J12" i="30"/>
  <c r="D11" i="30"/>
  <c r="K6" i="30"/>
  <c r="B67" i="30"/>
  <c r="J6" i="30"/>
  <c r="B70" i="30"/>
  <c r="J9" i="30"/>
  <c r="K9" i="30"/>
  <c r="K26" i="30"/>
  <c r="J26" i="30"/>
  <c r="D25" i="30"/>
  <c r="J44" i="30"/>
  <c r="K44" i="30"/>
  <c r="D43" i="30"/>
  <c r="J8" i="30"/>
  <c r="J18" i="30"/>
  <c r="K18" i="30"/>
  <c r="D17" i="30"/>
  <c r="K38" i="30"/>
  <c r="J38" i="30"/>
  <c r="D37" i="30"/>
  <c r="K7" i="30"/>
  <c r="J7" i="30"/>
  <c r="J13" i="30"/>
  <c r="K13" i="30"/>
  <c r="K32" i="30"/>
  <c r="J32" i="30"/>
  <c r="D31" i="30"/>
  <c r="D4" i="30"/>
  <c r="B83" i="30" s="1"/>
  <c r="C4" i="30"/>
  <c r="B4" i="30"/>
  <c r="B79" i="30" l="1"/>
  <c r="B78" i="30"/>
  <c r="B81" i="30"/>
  <c r="B82" i="30"/>
  <c r="D23" i="30"/>
  <c r="D49" i="30" s="1"/>
  <c r="J4" i="30"/>
  <c r="K31" i="30"/>
  <c r="K37" i="30"/>
  <c r="K25" i="30"/>
  <c r="K43" i="30"/>
  <c r="K17" i="30"/>
  <c r="B71" i="30"/>
  <c r="E68" i="30"/>
  <c r="E70" i="30"/>
  <c r="C6" i="1"/>
  <c r="C10" i="1"/>
  <c r="D78" i="30" l="1"/>
  <c r="D81" i="30"/>
  <c r="D82" i="30"/>
  <c r="D79" i="30"/>
  <c r="B77" i="30"/>
  <c r="C29" i="15"/>
  <c r="B11" i="28"/>
  <c r="L7" i="15"/>
  <c r="C14" i="15"/>
  <c r="C25" i="15"/>
  <c r="B5" i="28"/>
  <c r="C9" i="15"/>
  <c r="C60" i="15"/>
  <c r="C61" i="15"/>
  <c r="C59" i="15"/>
  <c r="B84" i="30" l="1"/>
  <c r="C58" i="30"/>
  <c r="C15" i="15"/>
  <c r="B13" i="28"/>
  <c r="L9" i="15"/>
  <c r="C61" i="30"/>
  <c r="C60" i="30"/>
  <c r="C59" i="30"/>
  <c r="G83" i="30" l="1"/>
  <c r="G79" i="30"/>
  <c r="G81" i="30"/>
  <c r="G78" i="30"/>
  <c r="G82" i="30"/>
  <c r="G77" i="30"/>
  <c r="C54" i="15"/>
  <c r="D54" i="15"/>
  <c r="E54" i="15"/>
  <c r="F54" i="15"/>
  <c r="G54" i="15"/>
  <c r="H54" i="15"/>
  <c r="C55" i="15"/>
  <c r="D55" i="15"/>
  <c r="E55" i="15"/>
  <c r="F55" i="15"/>
  <c r="G55" i="15"/>
  <c r="H55" i="15"/>
  <c r="C56" i="15"/>
  <c r="D56" i="15"/>
  <c r="E56" i="15"/>
  <c r="F56" i="15"/>
  <c r="G56" i="15"/>
  <c r="H56" i="15"/>
  <c r="D53" i="15"/>
  <c r="E53" i="15"/>
  <c r="F53" i="15"/>
  <c r="G53" i="15"/>
  <c r="H53" i="15"/>
  <c r="D4" i="15"/>
  <c r="C7" i="32" l="1"/>
  <c r="D7" i="32"/>
  <c r="E7" i="32"/>
  <c r="F7" i="32"/>
  <c r="G7" i="32"/>
  <c r="A24" i="32"/>
  <c r="A23" i="32"/>
  <c r="A34" i="32" s="1"/>
  <c r="A22" i="32"/>
  <c r="A33" i="32" s="1"/>
  <c r="B14" i="32"/>
  <c r="G1" i="32"/>
  <c r="F27" i="32" s="1"/>
  <c r="F1" i="32"/>
  <c r="E27" i="32" s="1"/>
  <c r="E1" i="32"/>
  <c r="D27" i="32" s="1"/>
  <c r="D1" i="32"/>
  <c r="C27" i="32" s="1"/>
  <c r="C1" i="32"/>
  <c r="B27" i="32" s="1"/>
  <c r="B1" i="32"/>
  <c r="D20" i="32" l="1"/>
  <c r="C20" i="32"/>
  <c r="E20" i="32"/>
  <c r="F20" i="32"/>
  <c r="A22" i="29" l="1"/>
  <c r="A35" i="29" s="1"/>
  <c r="A23" i="29" l="1"/>
  <c r="A36" i="29" s="1"/>
  <c r="H10" i="32"/>
  <c r="G10" i="32"/>
  <c r="F10" i="32"/>
  <c r="E10" i="32"/>
  <c r="D10" i="32"/>
  <c r="C10" i="32"/>
  <c r="B10" i="32"/>
  <c r="H9" i="32"/>
  <c r="G9" i="32"/>
  <c r="F9" i="32"/>
  <c r="E9" i="32"/>
  <c r="D9" i="32"/>
  <c r="C9" i="32"/>
  <c r="B9" i="32"/>
  <c r="G6" i="32"/>
  <c r="F6" i="32"/>
  <c r="E6" i="32"/>
  <c r="D6" i="32"/>
  <c r="C6" i="32"/>
  <c r="B6" i="32"/>
  <c r="G8" i="32"/>
  <c r="F8" i="32"/>
  <c r="E8" i="32"/>
  <c r="D8" i="32"/>
  <c r="C8" i="32"/>
  <c r="B8" i="32"/>
  <c r="F19" i="32" l="1"/>
  <c r="E22" i="32"/>
  <c r="D19" i="32"/>
  <c r="E23" i="32"/>
  <c r="E21" i="32"/>
  <c r="D21" i="32"/>
  <c r="C21" i="32"/>
  <c r="E19" i="32"/>
  <c r="H22" i="32"/>
  <c r="B22" i="32"/>
  <c r="G22" i="32"/>
  <c r="F22" i="32"/>
  <c r="H23" i="32"/>
  <c r="B23" i="32"/>
  <c r="G23" i="32"/>
  <c r="F23" i="32"/>
  <c r="B19" i="32"/>
  <c r="C22" i="32"/>
  <c r="C23" i="32"/>
  <c r="B21" i="32"/>
  <c r="F21" i="32"/>
  <c r="C19" i="32"/>
  <c r="D22" i="32"/>
  <c r="D23" i="32"/>
  <c r="D21" i="28"/>
  <c r="H10" i="29"/>
  <c r="G44" i="28"/>
  <c r="G10" i="29" s="1"/>
  <c r="C44" i="28"/>
  <c r="C10" i="29" s="1"/>
  <c r="F44" i="28"/>
  <c r="F10" i="29" s="1"/>
  <c r="E44" i="28"/>
  <c r="E10" i="29" s="1"/>
  <c r="D44" i="28"/>
  <c r="D10" i="29" s="1"/>
  <c r="B44" i="28"/>
  <c r="B10" i="29" s="1"/>
  <c r="H23" i="29" l="1"/>
  <c r="C23" i="29"/>
  <c r="E21" i="28"/>
  <c r="E23" i="29"/>
  <c r="G23" i="29"/>
  <c r="B23" i="29"/>
  <c r="D23" i="29"/>
  <c r="F23" i="29"/>
  <c r="H5" i="32"/>
  <c r="G5" i="32"/>
  <c r="F5" i="32"/>
  <c r="E5" i="32"/>
  <c r="D5" i="32"/>
  <c r="C5" i="32"/>
  <c r="B5" i="32"/>
  <c r="H3" i="32"/>
  <c r="G3" i="32"/>
  <c r="F3" i="32"/>
  <c r="E3" i="32"/>
  <c r="D3" i="32"/>
  <c r="C3" i="32"/>
  <c r="B3" i="32"/>
  <c r="F18" i="32" l="1"/>
  <c r="E16" i="32"/>
  <c r="G16" i="32"/>
  <c r="H16" i="32"/>
  <c r="B18" i="32"/>
  <c r="D16" i="32"/>
  <c r="D18" i="32"/>
  <c r="C18" i="32"/>
  <c r="H18" i="32"/>
  <c r="G18" i="32"/>
  <c r="C16" i="32"/>
  <c r="B16" i="32"/>
  <c r="F16" i="32"/>
  <c r="E18" i="32"/>
  <c r="G70" i="30" l="1"/>
  <c r="F70" i="30"/>
  <c r="D70" i="30"/>
  <c r="G68" i="30" l="1"/>
  <c r="F68" i="30"/>
  <c r="D68" i="30"/>
  <c r="A13" i="27" l="1"/>
  <c r="A14" i="27"/>
  <c r="A15" i="27"/>
  <c r="A12" i="27"/>
  <c r="B20" i="28" l="1"/>
  <c r="B8" i="29" s="1"/>
  <c r="N4" i="15"/>
  <c r="O4" i="15" s="1"/>
  <c r="P4" i="15" s="1"/>
  <c r="Q4" i="15" s="1"/>
  <c r="R4" i="15" s="1"/>
  <c r="M9" i="15" l="1"/>
  <c r="L43" i="30" l="1"/>
  <c r="C43" i="30"/>
  <c r="B43" i="30"/>
  <c r="F37" i="30"/>
  <c r="C37" i="30"/>
  <c r="J37" i="30" s="1"/>
  <c r="B37" i="30"/>
  <c r="F31" i="30"/>
  <c r="C31" i="30"/>
  <c r="J31" i="30" s="1"/>
  <c r="B31" i="30"/>
  <c r="F25" i="30"/>
  <c r="C25" i="30"/>
  <c r="B25" i="30"/>
  <c r="F17" i="30"/>
  <c r="L17" i="30" s="1"/>
  <c r="C17" i="30"/>
  <c r="B17" i="30"/>
  <c r="F11" i="30"/>
  <c r="C11" i="30"/>
  <c r="J11" i="30" s="1"/>
  <c r="B11" i="30"/>
  <c r="J17" i="30" l="1"/>
  <c r="C23" i="30"/>
  <c r="C49" i="30" s="1"/>
  <c r="L37" i="30"/>
  <c r="L25" i="30"/>
  <c r="L31" i="30"/>
  <c r="J43" i="30"/>
  <c r="J25" i="30"/>
  <c r="B23" i="30"/>
  <c r="F23" i="30"/>
  <c r="A24" i="29"/>
  <c r="J23" i="30" l="1"/>
  <c r="B61" i="30" l="1"/>
  <c r="B56" i="30"/>
  <c r="D53" i="30"/>
  <c r="J49" i="30"/>
  <c r="B58" i="30"/>
  <c r="B60" i="30"/>
  <c r="B57" i="30"/>
  <c r="B59" i="30"/>
  <c r="B49" i="30"/>
  <c r="B14" i="29"/>
  <c r="B1" i="29"/>
  <c r="B4" i="32"/>
  <c r="C4" i="32"/>
  <c r="B2" i="32"/>
  <c r="C2" i="32"/>
  <c r="C2" i="28"/>
  <c r="C6" i="28" s="1"/>
  <c r="D50" i="30" s="1"/>
  <c r="B2" i="28"/>
  <c r="B6" i="28" l="1"/>
  <c r="C50" i="30" s="1"/>
  <c r="B29" i="32"/>
  <c r="B15" i="32"/>
  <c r="C11" i="32"/>
  <c r="B17" i="32"/>
  <c r="B28" i="32" s="1"/>
  <c r="C31" i="32"/>
  <c r="C33" i="32"/>
  <c r="C34" i="32"/>
  <c r="C32" i="32"/>
  <c r="C30" i="32"/>
  <c r="C29" i="32"/>
  <c r="B11" i="32"/>
  <c r="B31" i="32"/>
  <c r="B32" i="32"/>
  <c r="B34" i="32"/>
  <c r="B30" i="32"/>
  <c r="B33" i="32"/>
  <c r="B2" i="29" l="1"/>
  <c r="B24" i="32"/>
  <c r="C2" i="29"/>
  <c r="H38" i="28"/>
  <c r="H9" i="29"/>
  <c r="H26" i="28"/>
  <c r="H20" i="28"/>
  <c r="C1" i="29"/>
  <c r="B27" i="29" s="1"/>
  <c r="H48" i="15"/>
  <c r="G48" i="15"/>
  <c r="F48" i="15"/>
  <c r="E48" i="15"/>
  <c r="D5" i="29" s="1"/>
  <c r="D48" i="15"/>
  <c r="C48" i="15"/>
  <c r="H42" i="15"/>
  <c r="G42" i="15"/>
  <c r="F42" i="15"/>
  <c r="E42" i="15"/>
  <c r="D42" i="15"/>
  <c r="B76" i="30" s="1"/>
  <c r="G76" i="30" s="1"/>
  <c r="C42" i="15"/>
  <c r="D14" i="15"/>
  <c r="B14" i="28"/>
  <c r="B7" i="28"/>
  <c r="G11" i="30"/>
  <c r="M11" i="30" s="1"/>
  <c r="H11" i="30"/>
  <c r="I11" i="30"/>
  <c r="P11" i="30" s="1"/>
  <c r="G17" i="30"/>
  <c r="M17" i="30" s="1"/>
  <c r="H17" i="30"/>
  <c r="I17" i="30"/>
  <c r="G25" i="30"/>
  <c r="H25" i="30"/>
  <c r="I25" i="30"/>
  <c r="P25" i="30" s="1"/>
  <c r="E82" i="30" s="1"/>
  <c r="K27" i="30"/>
  <c r="L27" i="30"/>
  <c r="M27" i="30"/>
  <c r="N27" i="30"/>
  <c r="O27" i="30"/>
  <c r="G31" i="30"/>
  <c r="I31" i="30"/>
  <c r="P31" i="30" s="1"/>
  <c r="E81" i="30" s="1"/>
  <c r="G37" i="30"/>
  <c r="M37" i="30" s="1"/>
  <c r="I37" i="30"/>
  <c r="P37" i="30" s="1"/>
  <c r="G43" i="30"/>
  <c r="M43" i="30" s="1"/>
  <c r="H43" i="30"/>
  <c r="I43" i="30"/>
  <c r="P43" i="30" s="1"/>
  <c r="D5" i="1"/>
  <c r="C21" i="26" s="1"/>
  <c r="C48" i="26" s="1"/>
  <c r="D4" i="1"/>
  <c r="D3" i="1"/>
  <c r="C19" i="26" s="1"/>
  <c r="D9" i="1"/>
  <c r="G9" i="26"/>
  <c r="G27" i="26" s="1"/>
  <c r="E9" i="26"/>
  <c r="E27" i="26" s="1"/>
  <c r="D9" i="26"/>
  <c r="D27" i="26" s="1"/>
  <c r="C9" i="26"/>
  <c r="C27" i="26" s="1"/>
  <c r="B4" i="29"/>
  <c r="C20" i="28"/>
  <c r="C8" i="29" s="1"/>
  <c r="D20" i="28"/>
  <c r="D8" i="29" s="1"/>
  <c r="E8" i="29"/>
  <c r="F20" i="28"/>
  <c r="F8" i="29" s="1"/>
  <c r="G20" i="28"/>
  <c r="G8" i="29" s="1"/>
  <c r="B6" i="29"/>
  <c r="C26" i="28"/>
  <c r="C6" i="29" s="1"/>
  <c r="D26" i="28"/>
  <c r="D6" i="29" s="1"/>
  <c r="E26" i="28"/>
  <c r="E6" i="29" s="1"/>
  <c r="F26" i="28"/>
  <c r="F6" i="29" s="1"/>
  <c r="G26" i="28"/>
  <c r="G6" i="29" s="1"/>
  <c r="B9" i="29"/>
  <c r="C9" i="29"/>
  <c r="D9" i="29"/>
  <c r="E9" i="29"/>
  <c r="F9" i="29"/>
  <c r="G9" i="29"/>
  <c r="B38" i="28"/>
  <c r="B7" i="29" s="1"/>
  <c r="C7" i="29"/>
  <c r="D38" i="28"/>
  <c r="D7" i="29" s="1"/>
  <c r="E38" i="28"/>
  <c r="E7" i="29" s="1"/>
  <c r="F38" i="28"/>
  <c r="F7" i="29" s="1"/>
  <c r="G38" i="28"/>
  <c r="B13" i="27"/>
  <c r="C13" i="27"/>
  <c r="D13" i="27"/>
  <c r="E13" i="27"/>
  <c r="F13" i="27"/>
  <c r="B14" i="27"/>
  <c r="C14" i="27"/>
  <c r="D14" i="27"/>
  <c r="E14" i="27"/>
  <c r="F14" i="27"/>
  <c r="B15" i="27"/>
  <c r="D15" i="27"/>
  <c r="E15" i="27"/>
  <c r="F15" i="27"/>
  <c r="C11" i="27"/>
  <c r="D11" i="27"/>
  <c r="E11" i="27"/>
  <c r="D10" i="2"/>
  <c r="E10" i="2"/>
  <c r="F10" i="2"/>
  <c r="G10" i="2"/>
  <c r="H10" i="2"/>
  <c r="I10" i="2"/>
  <c r="J10" i="2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E9" i="2"/>
  <c r="F9" i="2"/>
  <c r="G9" i="2"/>
  <c r="H9" i="2"/>
  <c r="I9" i="2"/>
  <c r="J9" i="2"/>
  <c r="D9" i="2"/>
  <c r="C11" i="1"/>
  <c r="D11" i="1"/>
  <c r="C4" i="1"/>
  <c r="C5" i="1"/>
  <c r="C3" i="1"/>
  <c r="D4" i="2"/>
  <c r="E4" i="2"/>
  <c r="F4" i="2"/>
  <c r="G4" i="2"/>
  <c r="H4" i="2"/>
  <c r="I4" i="2"/>
  <c r="J4" i="2"/>
  <c r="D5" i="2"/>
  <c r="E5" i="2"/>
  <c r="F5" i="2"/>
  <c r="G5" i="2"/>
  <c r="H5" i="2"/>
  <c r="I5" i="2"/>
  <c r="J5" i="2"/>
  <c r="D6" i="2"/>
  <c r="E6" i="2"/>
  <c r="F6" i="2"/>
  <c r="G6" i="2"/>
  <c r="H6" i="2"/>
  <c r="I6" i="2"/>
  <c r="J6" i="2"/>
  <c r="E3" i="2"/>
  <c r="F3" i="2"/>
  <c r="G3" i="2"/>
  <c r="H3" i="2"/>
  <c r="I3" i="2"/>
  <c r="J3" i="2"/>
  <c r="D3" i="2"/>
  <c r="B12" i="27"/>
  <c r="C12" i="27"/>
  <c r="D12" i="27"/>
  <c r="E12" i="27"/>
  <c r="F12" i="27"/>
  <c r="A42" i="2"/>
  <c r="A40" i="2"/>
  <c r="A38" i="2"/>
  <c r="F9" i="26"/>
  <c r="F27" i="26" s="1"/>
  <c r="C17" i="1"/>
  <c r="B8" i="26" s="1"/>
  <c r="B26" i="26" s="1"/>
  <c r="D18" i="2"/>
  <c r="D2" i="2"/>
  <c r="B1" i="26" s="1"/>
  <c r="B17" i="26" s="1"/>
  <c r="B44" i="26" s="1"/>
  <c r="C18" i="1"/>
  <c r="C19" i="1"/>
  <c r="C20" i="1"/>
  <c r="C21" i="1"/>
  <c r="C23" i="1"/>
  <c r="C24" i="1"/>
  <c r="C25" i="1"/>
  <c r="C26" i="1"/>
  <c r="C2" i="1"/>
  <c r="I42" i="15"/>
  <c r="C37" i="15"/>
  <c r="D37" i="15"/>
  <c r="D15" i="15" l="1"/>
  <c r="C13" i="28"/>
  <c r="B80" i="30"/>
  <c r="D21" i="29"/>
  <c r="J19" i="2"/>
  <c r="C21" i="29"/>
  <c r="B15" i="29"/>
  <c r="B28" i="29" s="1"/>
  <c r="H22" i="29"/>
  <c r="M25" i="30"/>
  <c r="E78" i="30"/>
  <c r="E79" i="30"/>
  <c r="H23" i="30"/>
  <c r="C22" i="26"/>
  <c r="C47" i="26"/>
  <c r="C20" i="26"/>
  <c r="F21" i="29"/>
  <c r="D3" i="29"/>
  <c r="C76" i="30"/>
  <c r="O17" i="30"/>
  <c r="N11" i="30"/>
  <c r="D12" i="1"/>
  <c r="C4" i="29"/>
  <c r="B17" i="29" s="1"/>
  <c r="C31" i="15"/>
  <c r="C27" i="1" s="1"/>
  <c r="N43" i="30"/>
  <c r="O31" i="30"/>
  <c r="O25" i="30"/>
  <c r="N17" i="30"/>
  <c r="N25" i="30"/>
  <c r="O37" i="30"/>
  <c r="N31" i="30"/>
  <c r="O43" i="30"/>
  <c r="N37" i="30"/>
  <c r="M31" i="30"/>
  <c r="O11" i="30"/>
  <c r="B21" i="29"/>
  <c r="B34" i="29" s="1"/>
  <c r="B20" i="29"/>
  <c r="B33" i="29" s="1"/>
  <c r="C62" i="15"/>
  <c r="H62" i="15"/>
  <c r="H57" i="15"/>
  <c r="G3" i="29"/>
  <c r="G57" i="15"/>
  <c r="E5" i="29"/>
  <c r="D18" i="29" s="1"/>
  <c r="E62" i="15"/>
  <c r="F5" i="29"/>
  <c r="F62" i="15"/>
  <c r="E3" i="29"/>
  <c r="E57" i="15"/>
  <c r="G5" i="29"/>
  <c r="G62" i="15"/>
  <c r="F3" i="29"/>
  <c r="F57" i="15"/>
  <c r="C3" i="29"/>
  <c r="D57" i="15"/>
  <c r="B3" i="29"/>
  <c r="C57" i="15"/>
  <c r="C5" i="29"/>
  <c r="D62" i="15"/>
  <c r="B5" i="29"/>
  <c r="H7" i="29"/>
  <c r="H20" i="29" s="1"/>
  <c r="H7" i="32"/>
  <c r="H6" i="29"/>
  <c r="H6" i="32"/>
  <c r="H8" i="29"/>
  <c r="H21" i="29" s="1"/>
  <c r="H8" i="32"/>
  <c r="E22" i="29"/>
  <c r="G22" i="29"/>
  <c r="D22" i="29"/>
  <c r="C22" i="29"/>
  <c r="F22" i="29"/>
  <c r="B22" i="29"/>
  <c r="B35" i="29" s="1"/>
  <c r="G84" i="30"/>
  <c r="B19" i="26"/>
  <c r="B62" i="30"/>
  <c r="B36" i="29"/>
  <c r="F26" i="2"/>
  <c r="D21" i="2"/>
  <c r="H27" i="2"/>
  <c r="D19" i="2"/>
  <c r="H25" i="2"/>
  <c r="D25" i="2"/>
  <c r="G23" i="30"/>
  <c r="I23" i="30"/>
  <c r="P23" i="30" s="1"/>
  <c r="E2" i="2"/>
  <c r="D2" i="1"/>
  <c r="C38" i="1" s="1"/>
  <c r="C26" i="15"/>
  <c r="C22" i="1" s="1"/>
  <c r="F24" i="2"/>
  <c r="D27" i="2"/>
  <c r="D7" i="1"/>
  <c r="E38" i="2" s="1"/>
  <c r="H7" i="2"/>
  <c r="I22" i="2"/>
  <c r="E22" i="2"/>
  <c r="H21" i="2"/>
  <c r="H20" i="2"/>
  <c r="D20" i="2"/>
  <c r="D13" i="2"/>
  <c r="G13" i="2"/>
  <c r="G34" i="2" s="1"/>
  <c r="G40" i="2" s="1"/>
  <c r="I27" i="2"/>
  <c r="G26" i="2"/>
  <c r="D26" i="2"/>
  <c r="G25" i="2"/>
  <c r="D22" i="2"/>
  <c r="G21" i="2"/>
  <c r="I20" i="2"/>
  <c r="E20" i="2"/>
  <c r="B21" i="26"/>
  <c r="B48" i="26" s="1"/>
  <c r="I24" i="2"/>
  <c r="G27" i="2"/>
  <c r="I26" i="2"/>
  <c r="E26" i="2"/>
  <c r="I25" i="2"/>
  <c r="E21" i="2"/>
  <c r="E27" i="2"/>
  <c r="H24" i="2"/>
  <c r="F27" i="2"/>
  <c r="C7" i="1"/>
  <c r="E24" i="2"/>
  <c r="E25" i="2"/>
  <c r="D24" i="2"/>
  <c r="F25" i="2"/>
  <c r="H26" i="2"/>
  <c r="I13" i="2"/>
  <c r="I34" i="2" s="1"/>
  <c r="I40" i="2" s="1"/>
  <c r="G20" i="2"/>
  <c r="E13" i="2"/>
  <c r="K13" i="2" s="1"/>
  <c r="C14" i="28"/>
  <c r="C32" i="15"/>
  <c r="G24" i="2"/>
  <c r="C12" i="1"/>
  <c r="F20" i="2"/>
  <c r="J13" i="2"/>
  <c r="H13" i="2"/>
  <c r="F13" i="2"/>
  <c r="I19" i="2"/>
  <c r="G19" i="2"/>
  <c r="E19" i="2"/>
  <c r="H22" i="2"/>
  <c r="F22" i="2"/>
  <c r="J22" i="2"/>
  <c r="I7" i="2"/>
  <c r="G7" i="2"/>
  <c r="G22" i="2"/>
  <c r="E7" i="2"/>
  <c r="K7" i="2" s="1"/>
  <c r="H19" i="2"/>
  <c r="F19" i="2"/>
  <c r="F21" i="2"/>
  <c r="B22" i="26"/>
  <c r="B49" i="26" s="1"/>
  <c r="B20" i="26"/>
  <c r="E20" i="29"/>
  <c r="D20" i="29"/>
  <c r="C20" i="29"/>
  <c r="E21" i="29"/>
  <c r="J27" i="2"/>
  <c r="J26" i="2"/>
  <c r="J25" i="2"/>
  <c r="J24" i="2"/>
  <c r="J7" i="2"/>
  <c r="D7" i="2"/>
  <c r="I21" i="2"/>
  <c r="J21" i="2"/>
  <c r="J20" i="2"/>
  <c r="G7" i="29"/>
  <c r="C49" i="26"/>
  <c r="H5" i="29"/>
  <c r="F7" i="2"/>
  <c r="H3" i="29"/>
  <c r="H16" i="29" s="1"/>
  <c r="E76" i="30" s="1"/>
  <c r="C49" i="15"/>
  <c r="C43" i="15"/>
  <c r="B11" i="29"/>
  <c r="D49" i="15"/>
  <c r="D43" i="15"/>
  <c r="F19" i="29"/>
  <c r="D19" i="29"/>
  <c r="E19" i="29"/>
  <c r="B19" i="29"/>
  <c r="B32" i="29" s="1"/>
  <c r="C19" i="29"/>
  <c r="H19" i="29" l="1"/>
  <c r="F34" i="2"/>
  <c r="F40" i="2" s="1"/>
  <c r="D76" i="30"/>
  <c r="C3" i="30"/>
  <c r="G3" i="30"/>
  <c r="H3" i="30"/>
  <c r="D3" i="30"/>
  <c r="J28" i="2"/>
  <c r="H18" i="29"/>
  <c r="G19" i="29"/>
  <c r="C36" i="29"/>
  <c r="B30" i="29"/>
  <c r="J34" i="2"/>
  <c r="J40" i="2" s="1"/>
  <c r="M23" i="30"/>
  <c r="C16" i="29"/>
  <c r="C29" i="29" s="1"/>
  <c r="I3" i="30"/>
  <c r="H49" i="30"/>
  <c r="E77" i="30"/>
  <c r="C23" i="26"/>
  <c r="B47" i="26"/>
  <c r="B50" i="26" s="1"/>
  <c r="B23" i="26"/>
  <c r="D33" i="1"/>
  <c r="D13" i="1"/>
  <c r="K5" i="2"/>
  <c r="C34" i="29"/>
  <c r="E3" i="30"/>
  <c r="K4" i="2"/>
  <c r="K6" i="2"/>
  <c r="D16" i="29"/>
  <c r="F3" i="30"/>
  <c r="K9" i="2"/>
  <c r="K3" i="2"/>
  <c r="E16" i="29"/>
  <c r="F18" i="29"/>
  <c r="C11" i="29"/>
  <c r="C4" i="26"/>
  <c r="C32" i="29"/>
  <c r="C33" i="29"/>
  <c r="C45" i="1"/>
  <c r="C35" i="29"/>
  <c r="E42" i="2"/>
  <c r="C47" i="1"/>
  <c r="C44" i="1"/>
  <c r="C46" i="1"/>
  <c r="O23" i="30"/>
  <c r="N23" i="30"/>
  <c r="G21" i="29"/>
  <c r="B16" i="29"/>
  <c r="B29" i="29" s="1"/>
  <c r="E18" i="29"/>
  <c r="C18" i="29"/>
  <c r="C31" i="29" s="1"/>
  <c r="B18" i="29"/>
  <c r="B31" i="29" s="1"/>
  <c r="F16" i="29"/>
  <c r="H19" i="32"/>
  <c r="G19" i="32"/>
  <c r="G21" i="32"/>
  <c r="H21" i="32"/>
  <c r="C1" i="26"/>
  <c r="C17" i="26" s="1"/>
  <c r="C45" i="2"/>
  <c r="G20" i="32"/>
  <c r="H20" i="32"/>
  <c r="C50" i="26"/>
  <c r="B28" i="26"/>
  <c r="C48" i="1"/>
  <c r="C53" i="2"/>
  <c r="C46" i="2"/>
  <c r="C52" i="2"/>
  <c r="C54" i="2"/>
  <c r="C49" i="2"/>
  <c r="D34" i="2"/>
  <c r="D40" i="2" s="1"/>
  <c r="C47" i="2"/>
  <c r="D33" i="2"/>
  <c r="D36" i="2" s="1"/>
  <c r="C51" i="2"/>
  <c r="C48" i="2"/>
  <c r="C40" i="1"/>
  <c r="C42" i="1"/>
  <c r="C41" i="1"/>
  <c r="B3" i="26"/>
  <c r="C43" i="1"/>
  <c r="C39" i="1"/>
  <c r="F20" i="29"/>
  <c r="G47" i="2"/>
  <c r="H33" i="2"/>
  <c r="H36" i="2" s="1"/>
  <c r="J33" i="2"/>
  <c r="J36" i="2" s="1"/>
  <c r="J23" i="2"/>
  <c r="D32" i="1"/>
  <c r="D35" i="1" s="1"/>
  <c r="D47" i="2"/>
  <c r="C3" i="26"/>
  <c r="G51" i="2"/>
  <c r="D46" i="2"/>
  <c r="G23" i="2"/>
  <c r="F50" i="2" s="1"/>
  <c r="G52" i="2"/>
  <c r="E8" i="2"/>
  <c r="G46" i="2"/>
  <c r="G49" i="2"/>
  <c r="G53" i="2"/>
  <c r="F33" i="2"/>
  <c r="F36" i="2" s="1"/>
  <c r="E46" i="2"/>
  <c r="G54" i="2"/>
  <c r="D14" i="2"/>
  <c r="D51" i="2"/>
  <c r="D52" i="2"/>
  <c r="H54" i="2"/>
  <c r="I28" i="2"/>
  <c r="H55" i="2" s="1"/>
  <c r="H52" i="2"/>
  <c r="H51" i="2"/>
  <c r="H53" i="2"/>
  <c r="H49" i="2"/>
  <c r="G48" i="2"/>
  <c r="F48" i="2"/>
  <c r="F49" i="2"/>
  <c r="E49" i="2"/>
  <c r="E47" i="2"/>
  <c r="D38" i="2"/>
  <c r="C13" i="1"/>
  <c r="F53" i="2"/>
  <c r="D23" i="2"/>
  <c r="C50" i="2" s="1"/>
  <c r="F28" i="2"/>
  <c r="E55" i="2" s="1"/>
  <c r="E33" i="2"/>
  <c r="E36" i="2" s="1"/>
  <c r="E37" i="2" s="1"/>
  <c r="F51" i="2"/>
  <c r="H48" i="2"/>
  <c r="C33" i="1"/>
  <c r="B4" i="26"/>
  <c r="H47" i="2"/>
  <c r="H46" i="2"/>
  <c r="H23" i="2"/>
  <c r="G50" i="2" s="1"/>
  <c r="B31" i="26"/>
  <c r="E48" i="2"/>
  <c r="D53" i="2"/>
  <c r="D28" i="2"/>
  <c r="C55" i="2" s="1"/>
  <c r="H34" i="2"/>
  <c r="H40" i="2" s="1"/>
  <c r="F52" i="2"/>
  <c r="F54" i="2"/>
  <c r="E51" i="2"/>
  <c r="I23" i="2"/>
  <c r="H50" i="2" s="1"/>
  <c r="G28" i="2"/>
  <c r="F55" i="2" s="1"/>
  <c r="E28" i="2"/>
  <c r="D55" i="2" s="1"/>
  <c r="E54" i="2"/>
  <c r="D42" i="2"/>
  <c r="I33" i="2"/>
  <c r="I36" i="2" s="1"/>
  <c r="E53" i="2"/>
  <c r="E52" i="2"/>
  <c r="H28" i="2"/>
  <c r="G55" i="2" s="1"/>
  <c r="K12" i="2"/>
  <c r="D54" i="2"/>
  <c r="F47" i="2"/>
  <c r="D49" i="2"/>
  <c r="F46" i="2"/>
  <c r="C32" i="1"/>
  <c r="C35" i="1" s="1"/>
  <c r="E34" i="2"/>
  <c r="E40" i="2" s="1"/>
  <c r="B29" i="26"/>
  <c r="K11" i="2"/>
  <c r="K10" i="2"/>
  <c r="G33" i="2"/>
  <c r="G36" i="2" s="1"/>
  <c r="D8" i="2"/>
  <c r="D48" i="2"/>
  <c r="E14" i="2"/>
  <c r="B30" i="26"/>
  <c r="G20" i="29"/>
  <c r="G18" i="29"/>
  <c r="F23" i="2"/>
  <c r="E50" i="2" s="1"/>
  <c r="E23" i="2"/>
  <c r="D50" i="2" s="1"/>
  <c r="G16" i="29"/>
  <c r="D1" i="29"/>
  <c r="C27" i="29" s="1"/>
  <c r="E2" i="1"/>
  <c r="D38" i="1" s="1"/>
  <c r="E37" i="15"/>
  <c r="F2" i="2"/>
  <c r="D45" i="2" s="1"/>
  <c r="E41" i="2" l="1"/>
  <c r="J3" i="30"/>
  <c r="B63" i="30" s="1"/>
  <c r="M3" i="30"/>
  <c r="N3" i="30"/>
  <c r="O3" i="30"/>
  <c r="G63" i="30" s="1"/>
  <c r="G57" i="30"/>
  <c r="B24" i="29"/>
  <c r="G58" i="30"/>
  <c r="C5" i="26"/>
  <c r="C24" i="26" s="1"/>
  <c r="C25" i="26" s="1"/>
  <c r="L3" i="30"/>
  <c r="K3" i="30"/>
  <c r="C63" i="30" s="1"/>
  <c r="B5" i="26"/>
  <c r="B35" i="26"/>
  <c r="C44" i="26"/>
  <c r="B37" i="26"/>
  <c r="C28" i="1"/>
  <c r="D41" i="2"/>
  <c r="D37" i="2"/>
  <c r="B10" i="26"/>
  <c r="B11" i="26"/>
  <c r="B40" i="26"/>
  <c r="B39" i="26"/>
  <c r="B32" i="26"/>
  <c r="B41" i="26" s="1"/>
  <c r="B38" i="26"/>
  <c r="D2" i="26"/>
  <c r="D18" i="26" s="1"/>
  <c r="C36" i="26" s="1"/>
  <c r="D44" i="26" s="1"/>
  <c r="E1" i="29"/>
  <c r="D27" i="29" s="1"/>
  <c r="F2" i="1"/>
  <c r="E38" i="1" s="1"/>
  <c r="F37" i="15"/>
  <c r="G2" i="2"/>
  <c r="E45" i="2" s="1"/>
  <c r="B12" i="26" l="1"/>
  <c r="B24" i="26"/>
  <c r="E2" i="26"/>
  <c r="E18" i="26" s="1"/>
  <c r="D36" i="26" s="1"/>
  <c r="E44" i="26" s="1"/>
  <c r="F1" i="29"/>
  <c r="E27" i="29" s="1"/>
  <c r="H2" i="2"/>
  <c r="F45" i="2" s="1"/>
  <c r="G2" i="1"/>
  <c r="F38" i="1" s="1"/>
  <c r="G37" i="15"/>
  <c r="B33" i="26" l="1"/>
  <c r="G1" i="29"/>
  <c r="F27" i="29" s="1"/>
  <c r="H2" i="1"/>
  <c r="G38" i="1" s="1"/>
  <c r="H1" i="32"/>
  <c r="G27" i="32" s="1"/>
  <c r="I2" i="2"/>
  <c r="G45" i="2" s="1"/>
  <c r="H37" i="15"/>
  <c r="F2" i="26"/>
  <c r="F18" i="26" s="1"/>
  <c r="E36" i="26" s="1"/>
  <c r="F44" i="26" s="1"/>
  <c r="H1" i="29" l="1"/>
  <c r="G27" i="29" s="1"/>
  <c r="J2" i="2"/>
  <c r="H45" i="2" s="1"/>
  <c r="I2" i="1"/>
  <c r="H38" i="1" s="1"/>
  <c r="I37" i="15"/>
  <c r="G2" i="26"/>
  <c r="G18" i="26" s="1"/>
  <c r="F36" i="26" s="1"/>
  <c r="G44" i="26" s="1"/>
  <c r="H2" i="26" l="1"/>
  <c r="H18" i="26" s="1"/>
  <c r="G36" i="26" s="1"/>
  <c r="H44" i="26" s="1"/>
  <c r="C50" i="28" l="1"/>
  <c r="D50" i="28" l="1"/>
  <c r="E50" i="28" l="1"/>
  <c r="F50" i="28" l="1"/>
  <c r="G50" i="28"/>
  <c r="H50" i="28" l="1"/>
  <c r="D23" i="15" l="1"/>
  <c r="D19" i="1" s="1"/>
  <c r="D40" i="1" s="1"/>
  <c r="D3" i="28"/>
  <c r="E4" i="1"/>
  <c r="D22" i="15" l="1"/>
  <c r="D18" i="1" s="1"/>
  <c r="D39" i="1" s="1"/>
  <c r="D2" i="28"/>
  <c r="E3" i="1"/>
  <c r="E23" i="15" l="1"/>
  <c r="E19" i="1" s="1"/>
  <c r="E3" i="28"/>
  <c r="F4" i="1"/>
  <c r="F3" i="28" l="1"/>
  <c r="G4" i="1"/>
  <c r="F23" i="15"/>
  <c r="F19" i="1" s="1"/>
  <c r="G23" i="15" l="1"/>
  <c r="G19" i="1" s="1"/>
  <c r="G3" i="28"/>
  <c r="H4" i="1"/>
  <c r="H23" i="15" l="1"/>
  <c r="H19" i="1" s="1"/>
  <c r="H3" i="28"/>
  <c r="I4" i="1"/>
  <c r="E22" i="15" l="1"/>
  <c r="E18" i="1" s="1"/>
  <c r="E2" i="28"/>
  <c r="F3" i="1"/>
  <c r="N5" i="15"/>
  <c r="D9" i="28"/>
  <c r="D27" i="15"/>
  <c r="D23" i="1" s="1"/>
  <c r="D44" i="1" s="1"/>
  <c r="E8" i="1"/>
  <c r="D19" i="26" s="1"/>
  <c r="E9" i="28"/>
  <c r="O5" i="15"/>
  <c r="E27" i="15"/>
  <c r="E23" i="1" s="1"/>
  <c r="F8" i="1"/>
  <c r="I2" i="28" l="1"/>
  <c r="P5" i="15"/>
  <c r="F27" i="15"/>
  <c r="F23" i="1" s="1"/>
  <c r="F9" i="28"/>
  <c r="G8" i="1"/>
  <c r="F22" i="15"/>
  <c r="F18" i="1" s="1"/>
  <c r="F2" i="28"/>
  <c r="G3" i="1"/>
  <c r="E19" i="26"/>
  <c r="G22" i="15" l="1"/>
  <c r="G18" i="1" s="1"/>
  <c r="G2" i="28"/>
  <c r="H3" i="1"/>
  <c r="H22" i="15"/>
  <c r="H18" i="1" s="1"/>
  <c r="H2" i="28"/>
  <c r="I3" i="1"/>
  <c r="G27" i="15"/>
  <c r="G23" i="1" s="1"/>
  <c r="Q5" i="15"/>
  <c r="G9" i="28"/>
  <c r="H8" i="1"/>
  <c r="R5" i="15"/>
  <c r="H9" i="28"/>
  <c r="H27" i="15"/>
  <c r="H23" i="1" s="1"/>
  <c r="I8" i="1"/>
  <c r="H19" i="26" s="1"/>
  <c r="D47" i="26"/>
  <c r="C28" i="26"/>
  <c r="C37" i="26" s="1"/>
  <c r="E47" i="26"/>
  <c r="D28" i="26"/>
  <c r="F19" i="26"/>
  <c r="G19" i="26" l="1"/>
  <c r="H47" i="26"/>
  <c r="F47" i="26"/>
  <c r="E28" i="26"/>
  <c r="G47" i="26" l="1"/>
  <c r="F28" i="26"/>
  <c r="G28" i="26"/>
  <c r="D25" i="15" l="1"/>
  <c r="D21" i="1" s="1"/>
  <c r="D42" i="1" s="1"/>
  <c r="D5" i="28"/>
  <c r="E6" i="1"/>
  <c r="H12" i="28" l="1"/>
  <c r="H4" i="32" s="1"/>
  <c r="R8" i="15"/>
  <c r="I11" i="1"/>
  <c r="H5" i="28"/>
  <c r="I6" i="1"/>
  <c r="D2" i="32"/>
  <c r="C15" i="32" s="1"/>
  <c r="H22" i="26" l="1"/>
  <c r="E25" i="15"/>
  <c r="E21" i="1" s="1"/>
  <c r="E5" i="28"/>
  <c r="F6" i="1"/>
  <c r="H2" i="32"/>
  <c r="H17" i="32"/>
  <c r="H11" i="32" l="1"/>
  <c r="H24" i="32" s="1"/>
  <c r="H15" i="32"/>
  <c r="F25" i="15"/>
  <c r="F21" i="1" s="1"/>
  <c r="F5" i="28"/>
  <c r="G6" i="1"/>
  <c r="E2" i="32"/>
  <c r="D15" i="32" s="1"/>
  <c r="H49" i="26"/>
  <c r="G25" i="15" l="1"/>
  <c r="G21" i="1" s="1"/>
  <c r="G5" i="28"/>
  <c r="H6" i="1"/>
  <c r="H21" i="1"/>
  <c r="D12" i="28"/>
  <c r="D4" i="32" s="1"/>
  <c r="D30" i="15"/>
  <c r="D26" i="1" s="1"/>
  <c r="D47" i="1" s="1"/>
  <c r="E11" i="1"/>
  <c r="D22" i="26" s="1"/>
  <c r="D49" i="26" s="1"/>
  <c r="F2" i="32"/>
  <c r="E15" i="32" s="1"/>
  <c r="G2" i="32" l="1"/>
  <c r="D31" i="32"/>
  <c r="D33" i="32"/>
  <c r="D29" i="32"/>
  <c r="C17" i="32"/>
  <c r="C28" i="32" s="1"/>
  <c r="D32" i="32"/>
  <c r="D11" i="32"/>
  <c r="D34" i="32"/>
  <c r="D30" i="32"/>
  <c r="E12" i="28" l="1"/>
  <c r="E30" i="15"/>
  <c r="E26" i="1" s="1"/>
  <c r="F11" i="1"/>
  <c r="E22" i="26" s="1"/>
  <c r="F15" i="32"/>
  <c r="G15" i="32"/>
  <c r="C24" i="32"/>
  <c r="C31" i="26"/>
  <c r="C40" i="26" s="1"/>
  <c r="F12" i="28" l="1"/>
  <c r="F4" i="32" s="1"/>
  <c r="F30" i="15"/>
  <c r="F26" i="1" s="1"/>
  <c r="P8" i="15"/>
  <c r="G11" i="1"/>
  <c r="F22" i="26" s="1"/>
  <c r="E4" i="32"/>
  <c r="I5" i="28"/>
  <c r="E34" i="32" l="1"/>
  <c r="E29" i="32"/>
  <c r="E31" i="32"/>
  <c r="E32" i="32"/>
  <c r="D17" i="32"/>
  <c r="D28" i="32" s="1"/>
  <c r="E11" i="32"/>
  <c r="E33" i="32"/>
  <c r="E30" i="32"/>
  <c r="E17" i="32"/>
  <c r="E28" i="32" s="1"/>
  <c r="F32" i="32"/>
  <c r="F11" i="32"/>
  <c r="F34" i="32"/>
  <c r="F30" i="32"/>
  <c r="F31" i="32"/>
  <c r="F33" i="32"/>
  <c r="F29" i="32"/>
  <c r="E49" i="26"/>
  <c r="D31" i="26"/>
  <c r="E24" i="32" l="1"/>
  <c r="D24" i="32"/>
  <c r="F49" i="26"/>
  <c r="E31" i="26"/>
  <c r="G12" i="28"/>
  <c r="G4" i="32" s="1"/>
  <c r="G30" i="15"/>
  <c r="G26" i="1" s="1"/>
  <c r="H11" i="1"/>
  <c r="G22" i="26" s="1"/>
  <c r="H26" i="1"/>
  <c r="Q8" i="15"/>
  <c r="G11" i="32" l="1"/>
  <c r="G29" i="32"/>
  <c r="F17" i="32"/>
  <c r="F28" i="32" s="1"/>
  <c r="G33" i="32"/>
  <c r="G34" i="32"/>
  <c r="G30" i="32"/>
  <c r="G31" i="32"/>
  <c r="G32" i="32"/>
  <c r="G17" i="32"/>
  <c r="G28" i="32" s="1"/>
  <c r="G49" i="26" l="1"/>
  <c r="F31" i="26"/>
  <c r="G31" i="26"/>
  <c r="F24" i="32"/>
  <c r="G24" i="32"/>
  <c r="D10" i="28" l="1"/>
  <c r="D28" i="15"/>
  <c r="D24" i="1" s="1"/>
  <c r="D45" i="1" s="1"/>
  <c r="E9" i="1"/>
  <c r="D20" i="26" s="1"/>
  <c r="N6" i="15"/>
  <c r="C29" i="26" l="1"/>
  <c r="C38" i="26" s="1"/>
  <c r="E28" i="15" l="1"/>
  <c r="E24" i="1" s="1"/>
  <c r="F9" i="1"/>
  <c r="E10" i="28"/>
  <c r="I3" i="28" s="1"/>
  <c r="O6" i="15"/>
  <c r="E20" i="26" l="1"/>
  <c r="F10" i="28"/>
  <c r="F28" i="15"/>
  <c r="F24" i="1" s="1"/>
  <c r="G9" i="1"/>
  <c r="P6" i="15"/>
  <c r="F20" i="26" l="1"/>
  <c r="D29" i="26"/>
  <c r="G28" i="15"/>
  <c r="G24" i="1" s="1"/>
  <c r="G10" i="28"/>
  <c r="H9" i="1"/>
  <c r="Q6" i="15"/>
  <c r="H28" i="15"/>
  <c r="H24" i="1" s="1"/>
  <c r="H10" i="28"/>
  <c r="I9" i="1"/>
  <c r="H20" i="26" s="1"/>
  <c r="R6" i="15"/>
  <c r="G20" i="26" l="1"/>
  <c r="E29" i="26"/>
  <c r="F29" i="26" l="1"/>
  <c r="G29" i="26"/>
  <c r="E4" i="30" l="1"/>
  <c r="K4" i="30" s="1"/>
  <c r="K8" i="30"/>
  <c r="C83" i="30" l="1"/>
  <c r="D83" i="30" s="1"/>
  <c r="C56" i="30"/>
  <c r="M8" i="30"/>
  <c r="E69" i="30"/>
  <c r="E71" i="30" s="1"/>
  <c r="G4" i="30"/>
  <c r="L8" i="30"/>
  <c r="D69" i="30"/>
  <c r="D71" i="30" s="1"/>
  <c r="F4" i="30"/>
  <c r="F49" i="30" l="1"/>
  <c r="G49" i="30"/>
  <c r="G69" i="30"/>
  <c r="G71" i="30" s="1"/>
  <c r="I4" i="30"/>
  <c r="P4" i="30" s="1"/>
  <c r="M4" i="30"/>
  <c r="L4" i="30"/>
  <c r="E63" i="30" l="1"/>
  <c r="E56" i="30"/>
  <c r="E83" i="30"/>
  <c r="I49" i="30"/>
  <c r="P49" i="30" s="1"/>
  <c r="F58" i="30"/>
  <c r="F57" i="30"/>
  <c r="E58" i="30"/>
  <c r="E57" i="30"/>
  <c r="F63" i="30"/>
  <c r="E61" i="30"/>
  <c r="E60" i="30"/>
  <c r="E59" i="30"/>
  <c r="N8" i="30"/>
  <c r="F69" i="30"/>
  <c r="F71" i="30" s="1"/>
  <c r="F61" i="30"/>
  <c r="F59" i="30"/>
  <c r="F60" i="30"/>
  <c r="M49" i="30"/>
  <c r="E62" i="30" s="1"/>
  <c r="O8" i="30"/>
  <c r="E84" i="30" l="1"/>
  <c r="E80" i="30"/>
  <c r="N4" i="30"/>
  <c r="F56" i="30" s="1"/>
  <c r="O4" i="30"/>
  <c r="G56" i="30" s="1"/>
  <c r="O49" i="30" l="1"/>
  <c r="G62" i="30" s="1"/>
  <c r="L14" i="30"/>
  <c r="K14" i="30"/>
  <c r="E11" i="30"/>
  <c r="C69" i="30"/>
  <c r="C71" i="30" s="1"/>
  <c r="G59" i="30"/>
  <c r="G60" i="30"/>
  <c r="N49" i="30"/>
  <c r="F62" i="30" s="1"/>
  <c r="G61" i="30"/>
  <c r="D24" i="15"/>
  <c r="D20" i="1" s="1"/>
  <c r="D41" i="1" s="1"/>
  <c r="D4" i="28"/>
  <c r="D6" i="28" s="1"/>
  <c r="E5" i="1"/>
  <c r="E9" i="15"/>
  <c r="D26" i="15" l="1"/>
  <c r="D22" i="1" s="1"/>
  <c r="D7" i="28"/>
  <c r="E7" i="1"/>
  <c r="E43" i="15"/>
  <c r="E23" i="30"/>
  <c r="E49" i="30" s="1"/>
  <c r="K11" i="30"/>
  <c r="L11" i="30"/>
  <c r="E50" i="30"/>
  <c r="D2" i="29"/>
  <c r="Q11" i="30" l="1"/>
  <c r="C77" i="30"/>
  <c r="C15" i="29"/>
  <c r="C28" i="29" s="1"/>
  <c r="F38" i="2"/>
  <c r="F37" i="2" s="1"/>
  <c r="E32" i="1"/>
  <c r="E35" i="1" s="1"/>
  <c r="D3" i="26"/>
  <c r="C10" i="26" s="1"/>
  <c r="E40" i="1"/>
  <c r="F8" i="2"/>
  <c r="E39" i="1"/>
  <c r="E42" i="1"/>
  <c r="K23" i="30"/>
  <c r="C57" i="30" s="1"/>
  <c r="L23" i="30"/>
  <c r="D43" i="1"/>
  <c r="C84" i="30" l="1"/>
  <c r="D77" i="30"/>
  <c r="C80" i="30"/>
  <c r="D80" i="30" s="1"/>
  <c r="D57" i="30"/>
  <c r="H57" i="30" s="1"/>
  <c r="F77" i="30" s="1"/>
  <c r="D63" i="30"/>
  <c r="K49" i="30"/>
  <c r="D58" i="30"/>
  <c r="H58" i="30" s="1"/>
  <c r="F82" i="30" s="1"/>
  <c r="D56" i="30"/>
  <c r="H56" i="30" s="1"/>
  <c r="F83" i="30" s="1"/>
  <c r="D61" i="30"/>
  <c r="D59" i="30"/>
  <c r="H59" i="30" s="1"/>
  <c r="F81" i="30" s="1"/>
  <c r="D60" i="30"/>
  <c r="L49" i="30"/>
  <c r="D62" i="30" s="1"/>
  <c r="H63" i="30" l="1"/>
  <c r="F76" i="30" s="1"/>
  <c r="D84" i="30"/>
  <c r="H61" i="30"/>
  <c r="F79" i="30" s="1"/>
  <c r="H60" i="30"/>
  <c r="F78" i="30" s="1"/>
  <c r="N7" i="15"/>
  <c r="N9" i="15" s="1"/>
  <c r="D11" i="28"/>
  <c r="D29" i="15"/>
  <c r="D25" i="1" s="1"/>
  <c r="D46" i="1" s="1"/>
  <c r="E10" i="1"/>
  <c r="D21" i="26" s="1"/>
  <c r="E14" i="15"/>
  <c r="C62" i="30"/>
  <c r="H62" i="30" s="1"/>
  <c r="F84" i="30" s="1"/>
  <c r="E15" i="15" l="1"/>
  <c r="D32" i="15" s="1"/>
  <c r="G19" i="15"/>
  <c r="F80" i="30"/>
  <c r="D31" i="15"/>
  <c r="D27" i="1" s="1"/>
  <c r="D48" i="1" s="1"/>
  <c r="D14" i="28"/>
  <c r="F14" i="2"/>
  <c r="E49" i="15"/>
  <c r="E12" i="1"/>
  <c r="D13" i="28"/>
  <c r="D4" i="29" s="1"/>
  <c r="D31" i="29" l="1"/>
  <c r="D29" i="29"/>
  <c r="D33" i="29"/>
  <c r="D35" i="29"/>
  <c r="D11" i="29"/>
  <c r="D36" i="29"/>
  <c r="D34" i="29"/>
  <c r="D32" i="29"/>
  <c r="C17" i="29"/>
  <c r="C30" i="29" s="1"/>
  <c r="F42" i="2"/>
  <c r="F41" i="2" s="1"/>
  <c r="E33" i="1"/>
  <c r="D4" i="26"/>
  <c r="D5" i="26" s="1"/>
  <c r="E13" i="1"/>
  <c r="E44" i="1"/>
  <c r="E47" i="1"/>
  <c r="E45" i="1"/>
  <c r="D48" i="26"/>
  <c r="D50" i="26" s="1"/>
  <c r="C30" i="26"/>
  <c r="C39" i="26" s="1"/>
  <c r="D23" i="26"/>
  <c r="C32" i="26" s="1"/>
  <c r="D28" i="1"/>
  <c r="D37" i="26" l="1"/>
  <c r="C41" i="26"/>
  <c r="D40" i="26"/>
  <c r="D38" i="26"/>
  <c r="C11" i="26"/>
  <c r="C24" i="29"/>
  <c r="C12" i="26" l="1"/>
  <c r="D24" i="26"/>
  <c r="C33" i="26" l="1"/>
  <c r="E24" i="15" l="1"/>
  <c r="E20" i="1" s="1"/>
  <c r="E41" i="1" s="1"/>
  <c r="E4" i="28"/>
  <c r="E6" i="28" s="1"/>
  <c r="F5" i="1"/>
  <c r="F9" i="15"/>
  <c r="F50" i="30" l="1"/>
  <c r="G5" i="1"/>
  <c r="F24" i="15"/>
  <c r="F20" i="1" s="1"/>
  <c r="F4" i="28"/>
  <c r="F6" i="28" s="1"/>
  <c r="G9" i="15"/>
  <c r="F43" i="15"/>
  <c r="E7" i="28"/>
  <c r="F7" i="1"/>
  <c r="E26" i="15"/>
  <c r="E22" i="1" s="1"/>
  <c r="E2" i="29"/>
  <c r="D15" i="29" l="1"/>
  <c r="D28" i="29" s="1"/>
  <c r="E43" i="1"/>
  <c r="F26" i="15"/>
  <c r="F22" i="1" s="1"/>
  <c r="F43" i="1" s="1"/>
  <c r="G7" i="1"/>
  <c r="G43" i="15"/>
  <c r="F7" i="28"/>
  <c r="G24" i="15"/>
  <c r="G20" i="1" s="1"/>
  <c r="G4" i="28"/>
  <c r="G6" i="28" s="1"/>
  <c r="H5" i="1"/>
  <c r="H9" i="15"/>
  <c r="G8" i="2"/>
  <c r="F39" i="1"/>
  <c r="E3" i="26"/>
  <c r="D10" i="26" s="1"/>
  <c r="G38" i="2"/>
  <c r="G37" i="2" s="1"/>
  <c r="F40" i="1"/>
  <c r="F42" i="1"/>
  <c r="F32" i="1"/>
  <c r="F35" i="1" s="1"/>
  <c r="F2" i="29"/>
  <c r="G50" i="30"/>
  <c r="F41" i="1"/>
  <c r="E15" i="29" l="1"/>
  <c r="E28" i="29" s="1"/>
  <c r="G41" i="1"/>
  <c r="H24" i="15"/>
  <c r="H20" i="1" s="1"/>
  <c r="H4" i="28"/>
  <c r="H6" i="28" s="1"/>
  <c r="I50" i="30" s="1"/>
  <c r="I5" i="1"/>
  <c r="I9" i="15"/>
  <c r="H50" i="30"/>
  <c r="G2" i="29"/>
  <c r="H38" i="2"/>
  <c r="H37" i="2" s="1"/>
  <c r="G39" i="1"/>
  <c r="G32" i="1"/>
  <c r="G35" i="1" s="1"/>
  <c r="F3" i="26"/>
  <c r="E10" i="26" s="1"/>
  <c r="G40" i="1"/>
  <c r="H8" i="2"/>
  <c r="G42" i="1"/>
  <c r="H7" i="1"/>
  <c r="H43" i="15"/>
  <c r="G26" i="15"/>
  <c r="G22" i="1" s="1"/>
  <c r="G43" i="1" s="1"/>
  <c r="G7" i="28"/>
  <c r="F15" i="29" l="1"/>
  <c r="F28" i="29" s="1"/>
  <c r="H41" i="1"/>
  <c r="I7" i="1"/>
  <c r="H7" i="28"/>
  <c r="I43" i="15"/>
  <c r="H26" i="15"/>
  <c r="H22" i="1" s="1"/>
  <c r="H42" i="1"/>
  <c r="I38" i="2"/>
  <c r="I37" i="2" s="1"/>
  <c r="G3" i="26"/>
  <c r="F10" i="26" s="1"/>
  <c r="H32" i="1"/>
  <c r="H35" i="1" s="1"/>
  <c r="H40" i="1"/>
  <c r="I8" i="2"/>
  <c r="H39" i="1"/>
  <c r="H2" i="29"/>
  <c r="H15" i="29" s="1"/>
  <c r="O7" i="15"/>
  <c r="O9" i="15" s="1"/>
  <c r="E11" i="28"/>
  <c r="I4" i="28" s="1"/>
  <c r="E29" i="15"/>
  <c r="E25" i="1" s="1"/>
  <c r="E46" i="1" s="1"/>
  <c r="F10" i="1"/>
  <c r="F14" i="15"/>
  <c r="G15" i="29" l="1"/>
  <c r="G28" i="29" s="1"/>
  <c r="H28" i="29" s="1"/>
  <c r="F49" i="15"/>
  <c r="E31" i="15"/>
  <c r="E27" i="1" s="1"/>
  <c r="E48" i="1" s="1"/>
  <c r="E13" i="28"/>
  <c r="E4" i="29" s="1"/>
  <c r="E14" i="28"/>
  <c r="G14" i="2"/>
  <c r="F12" i="1"/>
  <c r="F15" i="15"/>
  <c r="E32" i="15" s="1"/>
  <c r="H43" i="1"/>
  <c r="E21" i="26"/>
  <c r="F29" i="15"/>
  <c r="F25" i="1" s="1"/>
  <c r="P7" i="15"/>
  <c r="P9" i="15" s="1"/>
  <c r="G10" i="1"/>
  <c r="F11" i="28"/>
  <c r="G14" i="15"/>
  <c r="J8" i="2"/>
  <c r="I32" i="1"/>
  <c r="I35" i="1" s="1"/>
  <c r="J38" i="2"/>
  <c r="J37" i="2" s="1"/>
  <c r="H3" i="26"/>
  <c r="G10" i="26" s="1"/>
  <c r="D17" i="29" l="1"/>
  <c r="E29" i="29"/>
  <c r="F46" i="1"/>
  <c r="R7" i="15"/>
  <c r="R9" i="15" s="1"/>
  <c r="H11" i="28"/>
  <c r="I10" i="1"/>
  <c r="H21" i="26" s="1"/>
  <c r="I14" i="15"/>
  <c r="F31" i="15"/>
  <c r="F27" i="1" s="1"/>
  <c r="F48" i="1" s="1"/>
  <c r="F14" i="28"/>
  <c r="H14" i="2"/>
  <c r="G12" i="1"/>
  <c r="G15" i="15"/>
  <c r="F32" i="15" s="1"/>
  <c r="G49" i="15"/>
  <c r="F13" i="28"/>
  <c r="F4" i="29" s="1"/>
  <c r="F29" i="29" s="1"/>
  <c r="E48" i="26"/>
  <c r="E50" i="26" s="1"/>
  <c r="D30" i="26"/>
  <c r="D39" i="26" s="1"/>
  <c r="E23" i="26"/>
  <c r="E28" i="1"/>
  <c r="E36" i="29"/>
  <c r="E32" i="29"/>
  <c r="D30" i="29"/>
  <c r="E33" i="29"/>
  <c r="E11" i="29"/>
  <c r="E35" i="29"/>
  <c r="E34" i="29"/>
  <c r="E31" i="29"/>
  <c r="F21" i="26"/>
  <c r="F33" i="1"/>
  <c r="F13" i="1"/>
  <c r="G42" i="2"/>
  <c r="G41" i="2" s="1"/>
  <c r="E4" i="26"/>
  <c r="F44" i="1"/>
  <c r="F47" i="1"/>
  <c r="F45" i="1"/>
  <c r="Q7" i="15" l="1"/>
  <c r="Q9" i="15" s="1"/>
  <c r="H10" i="1"/>
  <c r="G29" i="15"/>
  <c r="G25" i="1" s="1"/>
  <c r="G46" i="1" s="1"/>
  <c r="G11" i="28"/>
  <c r="H14" i="15"/>
  <c r="H31" i="15" s="1"/>
  <c r="H27" i="1" s="1"/>
  <c r="D32" i="26"/>
  <c r="D41" i="26" s="1"/>
  <c r="E37" i="26"/>
  <c r="E40" i="26"/>
  <c r="E38" i="26"/>
  <c r="F32" i="29"/>
  <c r="F31" i="29"/>
  <c r="F11" i="29"/>
  <c r="F35" i="29"/>
  <c r="F33" i="29"/>
  <c r="F36" i="29"/>
  <c r="F34" i="29"/>
  <c r="E17" i="29"/>
  <c r="E30" i="29" s="1"/>
  <c r="H48" i="26"/>
  <c r="H50" i="26" s="1"/>
  <c r="H23" i="26"/>
  <c r="D11" i="26"/>
  <c r="E5" i="26"/>
  <c r="D24" i="29"/>
  <c r="H29" i="15"/>
  <c r="H25" i="1" s="1"/>
  <c r="F28" i="1"/>
  <c r="E30" i="26"/>
  <c r="E39" i="26" s="1"/>
  <c r="F48" i="26"/>
  <c r="F50" i="26" s="1"/>
  <c r="F23" i="26"/>
  <c r="H42" i="2"/>
  <c r="H41" i="2" s="1"/>
  <c r="G33" i="1"/>
  <c r="F4" i="26"/>
  <c r="G13" i="1"/>
  <c r="G44" i="1"/>
  <c r="G47" i="1"/>
  <c r="G45" i="1"/>
  <c r="H14" i="28"/>
  <c r="H13" i="28"/>
  <c r="H4" i="29" s="1"/>
  <c r="I15" i="15"/>
  <c r="J14" i="2"/>
  <c r="I12" i="1"/>
  <c r="I49" i="15"/>
  <c r="H17" i="29" l="1"/>
  <c r="F37" i="26"/>
  <c r="E32" i="26"/>
  <c r="E41" i="26" s="1"/>
  <c r="F40" i="26"/>
  <c r="F38" i="26"/>
  <c r="H11" i="29"/>
  <c r="H24" i="29" s="1"/>
  <c r="E24" i="26"/>
  <c r="D12" i="26"/>
  <c r="G21" i="26"/>
  <c r="I13" i="1"/>
  <c r="J42" i="2"/>
  <c r="J41" i="2" s="1"/>
  <c r="I33" i="1"/>
  <c r="H4" i="26"/>
  <c r="H15" i="15"/>
  <c r="G32" i="15" s="1"/>
  <c r="H49" i="15"/>
  <c r="G13" i="28"/>
  <c r="G4" i="29" s="1"/>
  <c r="H12" i="1"/>
  <c r="I14" i="2"/>
  <c r="G31" i="15"/>
  <c r="G27" i="1" s="1"/>
  <c r="G48" i="1" s="1"/>
  <c r="G14" i="28"/>
  <c r="E11" i="26"/>
  <c r="F5" i="26"/>
  <c r="E24" i="29"/>
  <c r="G17" i="29" l="1"/>
  <c r="G30" i="29" s="1"/>
  <c r="G29" i="29"/>
  <c r="H29" i="29" s="1"/>
  <c r="E12" i="26"/>
  <c r="F24" i="26"/>
  <c r="G28" i="1"/>
  <c r="H47" i="1"/>
  <c r="G4" i="26"/>
  <c r="I42" i="2"/>
  <c r="I41" i="2" s="1"/>
  <c r="H44" i="1"/>
  <c r="H33" i="1"/>
  <c r="H13" i="1"/>
  <c r="H48" i="1"/>
  <c r="H45" i="1"/>
  <c r="H5" i="26"/>
  <c r="H46" i="1"/>
  <c r="G36" i="29"/>
  <c r="H36" i="29" s="1"/>
  <c r="G32" i="29"/>
  <c r="H32" i="29" s="1"/>
  <c r="G33" i="29"/>
  <c r="H33" i="29" s="1"/>
  <c r="G31" i="29"/>
  <c r="H31" i="29" s="1"/>
  <c r="G11" i="29"/>
  <c r="G24" i="29" s="1"/>
  <c r="G34" i="29"/>
  <c r="H34" i="29" s="1"/>
  <c r="F17" i="29"/>
  <c r="F30" i="29" s="1"/>
  <c r="H30" i="29" s="1"/>
  <c r="G35" i="29"/>
  <c r="H35" i="29" s="1"/>
  <c r="G48" i="26"/>
  <c r="G50" i="26" s="1"/>
  <c r="F30" i="26"/>
  <c r="F39" i="26" s="1"/>
  <c r="G23" i="26"/>
  <c r="G30" i="26"/>
  <c r="D33" i="26"/>
  <c r="H32" i="15"/>
  <c r="F11" i="26" l="1"/>
  <c r="G5" i="26"/>
  <c r="H28" i="1"/>
  <c r="F24" i="29"/>
  <c r="H24" i="26"/>
  <c r="G37" i="26"/>
  <c r="G40" i="26"/>
  <c r="F32" i="26"/>
  <c r="F41" i="26" s="1"/>
  <c r="G38" i="26"/>
  <c r="G32" i="26"/>
  <c r="G41" i="26" s="1"/>
  <c r="E33" i="26"/>
  <c r="G39" i="26"/>
  <c r="G11" i="26"/>
  <c r="G24" i="26" l="1"/>
  <c r="F12" i="26"/>
  <c r="G12" i="26"/>
  <c r="F33" i="26" l="1"/>
  <c r="G33" i="26"/>
  <c r="B50" i="28" l="1"/>
</calcChain>
</file>

<file path=xl/comments1.xml><?xml version="1.0" encoding="utf-8"?>
<comments xmlns="http://schemas.openxmlformats.org/spreadsheetml/2006/main">
  <authors>
    <author>Newten Dumanoir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Evolution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Rythme annuel moyen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Contribution à l'évolution moyenne</t>
        </r>
      </text>
    </comment>
  </commentList>
</comments>
</file>

<file path=xl/comments2.xml><?xml version="1.0" encoding="utf-8"?>
<comments xmlns="http://schemas.openxmlformats.org/spreadsheetml/2006/main">
  <authors>
    <author>Newten Dumanoir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attention : à compter de 2020, la branche vieillesse est déficitaire et perçoit une contribution du RG</t>
        </r>
      </text>
    </comment>
  </commentList>
</comments>
</file>

<file path=xl/comments3.xml><?xml version="1.0" encoding="utf-8"?>
<comments xmlns="http://schemas.openxmlformats.org/spreadsheetml/2006/main">
  <authors>
    <author>Newten Dumanoir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MAIL DE DF DU 6 NOV 
"Pour la retraite SA, la branche est équilibrée (dépenses=produits), cela permet de calculer le transfert"
</t>
        </r>
      </text>
    </comment>
  </commentList>
</comments>
</file>

<file path=xl/sharedStrings.xml><?xml version="1.0" encoding="utf-8"?>
<sst xmlns="http://schemas.openxmlformats.org/spreadsheetml/2006/main" count="658" uniqueCount="267">
  <si>
    <t>Evolution</t>
  </si>
  <si>
    <t>Prévisions</t>
  </si>
  <si>
    <t>En millions d'euros</t>
  </si>
  <si>
    <t>Charges maladie</t>
  </si>
  <si>
    <t>Charges vieillesse</t>
  </si>
  <si>
    <t>Charges famille</t>
  </si>
  <si>
    <t xml:space="preserve">Total charges </t>
  </si>
  <si>
    <t>Produits maladie</t>
  </si>
  <si>
    <t>Produits vieillesse</t>
  </si>
  <si>
    <t>Produits famille</t>
  </si>
  <si>
    <t>Total produits</t>
  </si>
  <si>
    <t>SOLDES</t>
  </si>
  <si>
    <t>Prestations maladie</t>
  </si>
  <si>
    <t>Prestations vieillesse</t>
  </si>
  <si>
    <t>Prestations famille</t>
  </si>
  <si>
    <t xml:space="preserve">Total Prestations </t>
  </si>
  <si>
    <t>Cotisations maladie</t>
  </si>
  <si>
    <t>Cotisations vieillesse</t>
  </si>
  <si>
    <t>Cotisations famille</t>
  </si>
  <si>
    <t>Total Cotisations</t>
  </si>
  <si>
    <t>Total charges</t>
  </si>
  <si>
    <t>Poids dans l'ensemble des charges</t>
  </si>
  <si>
    <t>Poids dans l'ensemble des produits</t>
  </si>
  <si>
    <t>Réalisations</t>
  </si>
  <si>
    <t>Tableau 1</t>
  </si>
  <si>
    <t>Tableau 2</t>
  </si>
  <si>
    <t>(montants en millions d’euros)</t>
  </si>
  <si>
    <t>CHARGES</t>
  </si>
  <si>
    <t>PRODUITS</t>
  </si>
  <si>
    <t>Autres charges</t>
  </si>
  <si>
    <t>Autres produits</t>
  </si>
  <si>
    <t>Bénéficiaires - maladie</t>
  </si>
  <si>
    <t>GLOBAL  SALARIES</t>
  </si>
  <si>
    <t>Charges AT</t>
  </si>
  <si>
    <t>Produits AT</t>
  </si>
  <si>
    <t>Prestations AT</t>
  </si>
  <si>
    <t>Cotisations AT</t>
  </si>
  <si>
    <t>GLOBAL SALARIES</t>
  </si>
  <si>
    <t>Régime des SA – Toutes branches</t>
  </si>
  <si>
    <t>RESULTAT NET SA</t>
  </si>
  <si>
    <t>TOTAL CHARGES MAL-MAT-INV-DEC</t>
  </si>
  <si>
    <t>TOTAL CHARGES AT-MP</t>
  </si>
  <si>
    <t>TOTAL CHARGES FAMILLE</t>
  </si>
  <si>
    <t>TOTAL CHARGES RETRAITE</t>
  </si>
  <si>
    <t>TOTAL CHARGES</t>
  </si>
  <si>
    <t>verif</t>
  </si>
  <si>
    <t>TOTAL PRODUITS MAL-MAT-INV-DEC</t>
  </si>
  <si>
    <t>TOTAL PRODUITS AT-MP</t>
  </si>
  <si>
    <t>TOTAL PRODUITS FAMILLE</t>
  </si>
  <si>
    <t>TOTAL PRODUITS RETRAITE</t>
  </si>
  <si>
    <t>TOTAL PRODUITS</t>
  </si>
  <si>
    <t>TOTAL ITAF MAL-MAT-INV-DEC</t>
  </si>
  <si>
    <t>TOTAL ITAF AT-MP</t>
  </si>
  <si>
    <t>TOTAL ITAF FAMILLE</t>
  </si>
  <si>
    <t>TOTAL ITAF RETRAITE</t>
  </si>
  <si>
    <t>TOTAL ITAF</t>
  </si>
  <si>
    <t>TOTAL COMPENSATION MAL-MAT-INV-DEC</t>
  </si>
  <si>
    <t>TOTAL COMPENSATION AT-MP</t>
  </si>
  <si>
    <t>TOTAL COMPENSATION FAMILLE</t>
  </si>
  <si>
    <t>TOTAL COMPENSATION RETRAITE</t>
  </si>
  <si>
    <t>TOTAL COMPENSATION DEMO</t>
  </si>
  <si>
    <t>TOTAL COT PEC ETAT MAL-MAT-INV-DEC</t>
  </si>
  <si>
    <t>TOTAL COT PEC ETAT AT-MP</t>
  </si>
  <si>
    <t>TOTAL COT PEC ETAT FAMILLE</t>
  </si>
  <si>
    <t>TOTAL COT PEC ETAT RETRAITE</t>
  </si>
  <si>
    <t>TOTAL COT PEC</t>
  </si>
  <si>
    <t>TOTAL CSG MAL-MAT-INV-DEC</t>
  </si>
  <si>
    <t>TOTAL CSG AT-MP</t>
  </si>
  <si>
    <t>TOTAL CSG FAMILLE</t>
  </si>
  <si>
    <t>TOTAL CSG RETRAITE</t>
  </si>
  <si>
    <t>TOTAL CSG</t>
  </si>
  <si>
    <t>Charges</t>
  </si>
  <si>
    <t>Dont prestations légales</t>
  </si>
  <si>
    <t>Produit</t>
  </si>
  <si>
    <t>Dont cotisations sociales</t>
  </si>
  <si>
    <t>Dont compensation démographique</t>
  </si>
  <si>
    <t>Dont contribution généralisée</t>
  </si>
  <si>
    <t>Dont impôts et taxes affectées</t>
  </si>
  <si>
    <t>Charges ATEXA</t>
  </si>
  <si>
    <t>Produits ATEXA</t>
  </si>
  <si>
    <t>PRESTATIONS SOCIALES (yc  prest extra,...)</t>
  </si>
  <si>
    <t>Prestations sociales</t>
  </si>
  <si>
    <t>"Maladie-Maternité-Invalidité-Décès"</t>
  </si>
  <si>
    <t>Prestations sociales "AT-MP"</t>
  </si>
  <si>
    <t>Prestations sociales "Famille"</t>
  </si>
  <si>
    <t>Prestations sociales "Vieillesse-Veuvage"</t>
  </si>
  <si>
    <t>CHARGES TECHNIQUES DIVERSES</t>
  </si>
  <si>
    <t>TOTAL CHARGES TECHNIQUES + DIVERSES</t>
  </si>
  <si>
    <t>CHARGES FINANCIERES</t>
  </si>
  <si>
    <t>CHARGES EXCEPTIONNELLES</t>
  </si>
  <si>
    <t>DOTATIONS AUX PROVISIONS</t>
  </si>
  <si>
    <t>CHARGES DE GESTION COURANTE</t>
  </si>
  <si>
    <t>TOTAL DES CHARGES</t>
  </si>
  <si>
    <t>Total</t>
  </si>
  <si>
    <t>Contribution à la croissance</t>
  </si>
  <si>
    <t>REGIME DES SA - TOUTES BRANCHES 
(en million d'euros)</t>
  </si>
  <si>
    <t>Bénéficiaires de pensions d'invalidité</t>
  </si>
  <si>
    <t>VERIF</t>
  </si>
  <si>
    <t>maladie</t>
  </si>
  <si>
    <t>famille</t>
  </si>
  <si>
    <t>retraite</t>
  </si>
  <si>
    <t>Evolution par branche</t>
  </si>
  <si>
    <t>AT</t>
  </si>
  <si>
    <t>Solde par branche</t>
  </si>
  <si>
    <t>Rythme annuel moyen</t>
  </si>
  <si>
    <t>Contribution à la croissance des charges SA</t>
  </si>
  <si>
    <t>Solde maladie</t>
  </si>
  <si>
    <t>Solde AT</t>
  </si>
  <si>
    <t>Solde famille</t>
  </si>
  <si>
    <t>Solde vieillesse</t>
  </si>
  <si>
    <t>Réalisation 2019</t>
  </si>
  <si>
    <t>Effectifs en moyenne annuelle sauf pour :</t>
  </si>
  <si>
    <t>Les invalides, les actifs cotisants et les familles bénéficiaires</t>
  </si>
  <si>
    <t>Familles bénéficiaires de prestations familiales dans l'année</t>
  </si>
  <si>
    <t>2020/2019</t>
  </si>
  <si>
    <t>Réalisation 2020</t>
  </si>
  <si>
    <t>- Personnes protégées en maladie et bénéficiaires d’un avantage retraite : dénombrement en moyenne annuelle </t>
  </si>
  <si>
    <t>- Familles bénéficiaires : dénombrement annuel </t>
  </si>
  <si>
    <t>- Bénéficiaires de pensions d’invalidité : dénombrement au 31 décembre </t>
  </si>
  <si>
    <r>
      <t>- Actifs cotisants vieillesse : dénombrement au 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juillet  </t>
    </r>
  </si>
  <si>
    <t>VERIF CHARGE</t>
  </si>
  <si>
    <t>MALADIE</t>
  </si>
  <si>
    <t>FAMILLE</t>
  </si>
  <si>
    <t>TOTAL</t>
  </si>
  <si>
    <t>Actifs cotisants vieillesse au 1er juillet</t>
  </si>
  <si>
    <t>2021/2020</t>
  </si>
  <si>
    <t>Réalisation 2021</t>
  </si>
  <si>
    <t>&lt;= MAJ avec fichiers sous P</t>
  </si>
  <si>
    <t>TOTAL REPRISES SUR PROV AT-MP</t>
  </si>
  <si>
    <t>TOTAL REPRISES SUR PROV FAMILLE</t>
  </si>
  <si>
    <t>TOTAL REPRISES SUR PROV RETRAITE</t>
  </si>
  <si>
    <t>TOTAL REPRISES SUR PROV</t>
  </si>
  <si>
    <t>TOTAL REPRISES SUR PROV MAL-MAT-INV-DEC</t>
  </si>
  <si>
    <t>Contribution à l'évolution par branche</t>
  </si>
  <si>
    <t>2021(p)</t>
  </si>
  <si>
    <t>Dont reprises sur provisions</t>
  </si>
  <si>
    <t>Contribution selon le type de charges à l’évolution du montant total des dépenses SA</t>
  </si>
  <si>
    <t>Contribution selon la branche à l’évolution du montant total des dépenses SA</t>
  </si>
  <si>
    <t>Contribution selon la branche à l’évolution du montant total des recettes SA</t>
  </si>
  <si>
    <t>Contribution de chaque branche à l’évolution du montant total des prestations SA</t>
  </si>
  <si>
    <t>(après transferts)</t>
  </si>
  <si>
    <t>Dont cotisations prises en charge par l'Etat</t>
  </si>
  <si>
    <t>TOTAL ALLEG GENERAUX MAL-MAT-INV-DEC</t>
  </si>
  <si>
    <t>TOTAL ALLEG GENERAUX AT-MP</t>
  </si>
  <si>
    <t>TOTAL ALLEG GENERAUX FAMILLE</t>
  </si>
  <si>
    <t>TOTAL ALLEG GENERAUX RETRAITE</t>
  </si>
  <si>
    <t>TOTAL ALLEG GENERAUX</t>
  </si>
  <si>
    <t>Transferts d’équilibrage des soldes venant du Régime Général (RG)
(en millions d’euros</t>
  </si>
  <si>
    <t>Maladie</t>
  </si>
  <si>
    <t>Famille</t>
  </si>
  <si>
    <t xml:space="preserve">TOTAL INTEGRATION RG </t>
  </si>
  <si>
    <t>Retraite</t>
  </si>
  <si>
    <t>REGIME DES SA - TOUTES BRANCHES 
(évolution)</t>
  </si>
  <si>
    <r>
      <t xml:space="preserve">REGIME DES SA - TOUTES BRANCHES - </t>
    </r>
    <r>
      <rPr>
        <b/>
        <sz val="10"/>
        <color rgb="FFFF0000"/>
        <rFont val="Arial"/>
        <family val="2"/>
      </rPr>
      <t>RETRAITE</t>
    </r>
    <r>
      <rPr>
        <b/>
        <sz val="10"/>
        <rFont val="Arial"/>
        <family val="2"/>
      </rPr>
      <t xml:space="preserve">
(en million d'euros)</t>
    </r>
  </si>
  <si>
    <t>2022/2021</t>
  </si>
  <si>
    <t>Bénéficiaires de pensions vieillesse</t>
  </si>
  <si>
    <t>Réalisation 2022</t>
  </si>
  <si>
    <t>2022(p)</t>
  </si>
  <si>
    <t xml:space="preserve">VIEILLESSE </t>
  </si>
  <si>
    <t>2023/2022</t>
  </si>
  <si>
    <t>2023(p)</t>
  </si>
  <si>
    <t>Réalisation 2023</t>
  </si>
  <si>
    <t>Total dépenses</t>
  </si>
  <si>
    <t>PRESTATIONS légales</t>
  </si>
  <si>
    <t>CHARGES TECHNIQUES</t>
  </si>
  <si>
    <t>prestations légales</t>
  </si>
  <si>
    <t>Graphique 2</t>
  </si>
  <si>
    <t>Graphique 3</t>
  </si>
  <si>
    <t>Tableau 4</t>
  </si>
  <si>
    <t>Graphique 4</t>
  </si>
  <si>
    <t>Graphique 5</t>
  </si>
  <si>
    <t>Contriution ev moy</t>
  </si>
  <si>
    <t>Graphique 6</t>
  </si>
  <si>
    <t>Graphique 7</t>
  </si>
  <si>
    <t>Graphique 8</t>
  </si>
  <si>
    <t>2024(p)</t>
  </si>
  <si>
    <t>2024/2023</t>
  </si>
  <si>
    <t>Réalisation 2024</t>
  </si>
  <si>
    <t>Tableau 5</t>
  </si>
  <si>
    <t>PRESTATIONS sociales</t>
  </si>
  <si>
    <t>Graphique 1</t>
  </si>
  <si>
    <t xml:space="preserve">Cotisations - Evolution du nombre d’heures de travail par secteur </t>
  </si>
  <si>
    <t>Heures de travail
(en milliers d'heures)</t>
  </si>
  <si>
    <t>Réalisation</t>
  </si>
  <si>
    <t>Production agricole</t>
  </si>
  <si>
    <t>Cdi</t>
  </si>
  <si>
    <t>SOUS TOTAL</t>
  </si>
  <si>
    <t>Transformation</t>
  </si>
  <si>
    <t>Cdd</t>
  </si>
  <si>
    <t>Tertiaire</t>
  </si>
  <si>
    <t>Activités diverses</t>
  </si>
  <si>
    <t>TOTAL HEURES DE TRAVAIL</t>
  </si>
  <si>
    <t>* Données estimées</t>
  </si>
  <si>
    <t xml:space="preserve">Heures de travail </t>
  </si>
  <si>
    <t xml:space="preserve">Rythme annuel moyen </t>
  </si>
  <si>
    <t>Contribution moyenne</t>
  </si>
  <si>
    <t>(en milliers d’heures)</t>
  </si>
  <si>
    <t>Evol 2020</t>
  </si>
  <si>
    <t>Evol 2021</t>
  </si>
  <si>
    <t>Evol 2022</t>
  </si>
  <si>
    <t>Evol 2023</t>
  </si>
  <si>
    <t>Evol 2024</t>
  </si>
  <si>
    <t xml:space="preserve">Cotisations - Evolution du salaire horaire moyen </t>
  </si>
  <si>
    <t>Salaire horaire moyen
(en €)</t>
  </si>
  <si>
    <t>SALAIRE HORAIRE MOYEN</t>
  </si>
  <si>
    <t>Salaire horaire moyen</t>
  </si>
  <si>
    <t>(en €)</t>
  </si>
  <si>
    <t>TOTAL SALAIRE HORAIRE MOYEN</t>
  </si>
  <si>
    <t xml:space="preserve">Cotisations - Evolution de l’assiette des salaires </t>
  </si>
  <si>
    <t>Masse salariale
(en milliers d’euros)</t>
  </si>
  <si>
    <t>TOTAL MASSE SALARIALE</t>
  </si>
  <si>
    <t>Masse salariale</t>
  </si>
  <si>
    <t>(en milliers d'euros)</t>
  </si>
  <si>
    <t>Effectifs</t>
  </si>
  <si>
    <t>TCDC SA (Charges)</t>
  </si>
  <si>
    <t>CHARGES_PRODUITS</t>
  </si>
  <si>
    <t>Prest._cotisa.</t>
  </si>
  <si>
    <t>Index tableaux et graphiques</t>
  </si>
  <si>
    <t>onglet</t>
  </si>
  <si>
    <t>Tableau 3</t>
  </si>
  <si>
    <t>Résultat Net</t>
  </si>
  <si>
    <t>Soldes</t>
  </si>
  <si>
    <t>2025/2024</t>
  </si>
  <si>
    <t>2025(p)</t>
  </si>
  <si>
    <t>Réalisation 2025</t>
  </si>
  <si>
    <t>Solde 2022</t>
  </si>
  <si>
    <t>Prévision des montants de dépenses totales et de prestations du régime des salariés agricoles de 2021 à 2025</t>
  </si>
  <si>
    <t>Prévision des montants de recettes totales et de cotisations sociales du régime des salariés agricoles de 2021 à 2025</t>
  </si>
  <si>
    <t>Prévisions de résultat net par branche de 2021 à 2025</t>
  </si>
  <si>
    <t>=&gt; Compléter les données 2021 à 2025</t>
  </si>
  <si>
    <t>Cdd dont Tode</t>
  </si>
  <si>
    <t>dont CDD</t>
  </si>
  <si>
    <t>dont CDI</t>
  </si>
  <si>
    <t>Evol 2025</t>
  </si>
  <si>
    <t>production agricole</t>
  </si>
  <si>
    <t>CDD</t>
  </si>
  <si>
    <t>CDI</t>
  </si>
  <si>
    <t>=&gt; Compléter les données 2019 à 2025</t>
  </si>
  <si>
    <r>
      <t>Total produits (</t>
    </r>
    <r>
      <rPr>
        <sz val="11"/>
        <color rgb="FFFF0000"/>
        <rFont val="Arial"/>
        <family val="2"/>
      </rPr>
      <t>yc contrib RG</t>
    </r>
    <r>
      <rPr>
        <sz val="11"/>
        <rFont val="Arial"/>
        <family val="2"/>
      </rPr>
      <t>)</t>
    </r>
  </si>
  <si>
    <t>Transfert</t>
  </si>
  <si>
    <t>Prestation légales</t>
  </si>
  <si>
    <t>tableau 2</t>
  </si>
  <si>
    <r>
      <t>CHARGES TECHNIQUES (</t>
    </r>
    <r>
      <rPr>
        <b/>
        <sz val="9"/>
        <color rgb="FFFF0000"/>
        <rFont val="Arial"/>
        <family val="2"/>
      </rPr>
      <t>yc versements RG</t>
    </r>
    <r>
      <rPr>
        <b/>
        <sz val="9"/>
        <rFont val="Arial"/>
        <family val="2"/>
      </rPr>
      <t>)</t>
    </r>
  </si>
  <si>
    <t>Montants</t>
  </si>
  <si>
    <t>contribution annuelle moyenne</t>
  </si>
  <si>
    <t>Part</t>
  </si>
  <si>
    <t>Contribution à évol. moyenne</t>
  </si>
  <si>
    <t>Maladie - Intégration CNAMTS</t>
  </si>
  <si>
    <t>Retraite - Intégration CNAV</t>
  </si>
  <si>
    <t>Famille - Intégration Cnaf</t>
  </si>
  <si>
    <t>Total intégration RG</t>
  </si>
  <si>
    <t>TableauxNote</t>
  </si>
  <si>
    <t>Prestations légales</t>
  </si>
  <si>
    <t>Juin 2022</t>
  </si>
  <si>
    <t>Prévisions démographiques et financières</t>
  </si>
  <si>
    <t>du régime des salariés agricoles</t>
  </si>
  <si>
    <t>Période 2021 à 2025</t>
  </si>
  <si>
    <t>DIRECTION DELEGUEE AUX POLITIQUES SOCIALES</t>
  </si>
  <si>
    <t xml:space="preserve"> 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</si>
  <si>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</si>
  <si>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</si>
  <si>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</si>
  <si>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</si>
  <si>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</si>
  <si>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</si>
  <si>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Auteure : Newten DUMANOIR</t>
  </si>
  <si>
    <t>dumanoir.newten@ccmsa.msa.fr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</si>
</sst>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#,##0.0"/>
    <numFmt numFmtId="165" formatCode="0.0%"/>
    <numFmt numFmtId="166" formatCode="#,##0.000"/>
    <numFmt numFmtId="167" formatCode="0.0"/>
    <numFmt numFmtId="168" formatCode="\+0.0%;\-0.0%;General"/>
    <numFmt numFmtId="169" formatCode="#,##0.0_ ;\-#,##0.0\ "/>
    <numFmt numFmtId="170" formatCode="\+0.0%;\-0.0%"/>
    <numFmt numFmtId="171" formatCode="_-* #,##0\ _€_-;\-* #,##0\ _€_-;_-* &quot;-&quot;??\ _€_-;_-@_-"/>
    <numFmt numFmtId="172" formatCode="\+0.0;\-0.0"/>
    <numFmt numFmtId="173" formatCode="_-* #,##0.0\ _€_-;\-* #,##0.0\ _€_-;_-* &quot;-&quot;??\ _€_-;_-@_-"/>
  </numFmts>
  <fonts count="10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i/>
      <sz val="8"/>
      <color rgb="FFCC0099"/>
      <name val="Arial"/>
      <family val="2"/>
    </font>
    <font>
      <vertAlign val="superscript"/>
      <sz val="8"/>
      <name val="Arial"/>
      <family val="2"/>
    </font>
    <font>
      <b/>
      <i/>
      <sz val="8"/>
      <color rgb="FFCC0099"/>
      <name val="Arial"/>
      <family val="2"/>
    </font>
    <font>
      <sz val="10"/>
      <color rgb="FFD60093"/>
      <name val="Arial"/>
      <family val="2"/>
    </font>
    <font>
      <b/>
      <sz val="10"/>
      <color rgb="FFD60093"/>
      <name val="Arial"/>
      <family val="2"/>
    </font>
    <font>
      <b/>
      <u/>
      <sz val="9"/>
      <color rgb="FF365F91"/>
      <name val="Arial"/>
      <family val="2"/>
    </font>
    <font>
      <u/>
      <sz val="9"/>
      <color rgb="FF376092"/>
      <name val="Arial"/>
      <family val="2"/>
    </font>
    <font>
      <b/>
      <sz val="8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sz val="10"/>
      <color theme="7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7030A0"/>
      <name val="Arial"/>
      <family val="2"/>
    </font>
    <font>
      <sz val="10"/>
      <name val="Arial"/>
      <family val="2"/>
    </font>
    <font>
      <i/>
      <sz val="10"/>
      <color rgb="FF0070C0"/>
      <name val="Arial"/>
      <family val="2"/>
    </font>
    <font>
      <b/>
      <u/>
      <sz val="10"/>
      <color rgb="FF365F91"/>
      <name val="Arial"/>
      <family val="2"/>
    </font>
    <font>
      <b/>
      <u/>
      <sz val="8"/>
      <color rgb="FF365F91"/>
      <name val="Arial"/>
      <family val="2"/>
    </font>
    <font>
      <sz val="9"/>
      <color theme="4" tint="-0.249977111117893"/>
      <name val="Arial"/>
      <family val="2"/>
    </font>
    <font>
      <b/>
      <sz val="8"/>
      <color theme="0" tint="-0.14999847407452621"/>
      <name val="Arial"/>
      <family val="2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color rgb="FF365F91"/>
      <name val="Arial"/>
      <family val="2"/>
    </font>
    <font>
      <sz val="9"/>
      <color rgb="FF000000"/>
      <name val="Arial"/>
      <family val="2"/>
    </font>
    <font>
      <i/>
      <sz val="8"/>
      <color rgb="FF365F9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rgb="FF00B050"/>
      <name val="Arial"/>
      <family val="2"/>
    </font>
    <font>
      <b/>
      <sz val="9"/>
      <color rgb="FFFF0000"/>
      <name val="Arial"/>
      <family val="2"/>
    </font>
    <font>
      <i/>
      <sz val="8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70C0"/>
      <name val="Arial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 style="medium">
        <color rgb="FF808080"/>
      </bottom>
      <diagonal/>
    </border>
    <border>
      <left/>
      <right/>
      <top style="thick">
        <color rgb="FF808080"/>
      </top>
      <bottom style="medium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ck">
        <color rgb="FF808080"/>
      </right>
      <top style="medium">
        <color rgb="FF808080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/>
      <right style="thick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thick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 style="thick">
        <color rgb="FF808080"/>
      </right>
      <top style="dotted">
        <color rgb="FF808080"/>
      </top>
      <bottom style="medium">
        <color rgb="FF808080"/>
      </bottom>
      <diagonal/>
    </border>
    <border>
      <left/>
      <right style="thick">
        <color rgb="FF808080"/>
      </right>
      <top style="dotted">
        <color rgb="FF808080"/>
      </top>
      <bottom style="medium">
        <color rgb="FF808080"/>
      </bottom>
      <diagonal/>
    </border>
    <border>
      <left/>
      <right style="medium">
        <color rgb="FF808080"/>
      </right>
      <top style="dotted">
        <color rgb="FF808080"/>
      </top>
      <bottom style="medium">
        <color rgb="FF808080"/>
      </bottom>
      <diagonal/>
    </border>
    <border>
      <left style="thick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thick">
        <color rgb="FF808080"/>
      </bottom>
      <diagonal/>
    </border>
    <border>
      <left/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/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/>
      <right style="medium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365F91"/>
      </left>
      <right/>
      <top style="thick">
        <color rgb="FF365F91"/>
      </top>
      <bottom/>
      <diagonal/>
    </border>
    <border>
      <left/>
      <right style="thick">
        <color rgb="FF365F91"/>
      </right>
      <top style="thick">
        <color rgb="FF365F91"/>
      </top>
      <bottom/>
      <diagonal/>
    </border>
    <border>
      <left style="thick">
        <color rgb="FF365F91"/>
      </left>
      <right/>
      <top style="thick">
        <color rgb="FF365F91"/>
      </top>
      <bottom style="thick">
        <color rgb="FF365F91"/>
      </bottom>
      <diagonal/>
    </border>
    <border>
      <left/>
      <right style="thick">
        <color rgb="FF365F91"/>
      </right>
      <top style="thick">
        <color rgb="FF365F91"/>
      </top>
      <bottom style="thick">
        <color rgb="FF365F91"/>
      </bottom>
      <diagonal/>
    </border>
    <border>
      <left/>
      <right/>
      <top style="thick">
        <color rgb="FF365F91"/>
      </top>
      <bottom style="medium">
        <color rgb="FF808080"/>
      </bottom>
      <diagonal/>
    </border>
    <border>
      <left/>
      <right style="thick">
        <color rgb="FF365F91"/>
      </right>
      <top style="thick">
        <color rgb="FF365F91"/>
      </top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 style="thick">
        <color rgb="FF365F91"/>
      </top>
      <bottom/>
      <diagonal/>
    </border>
    <border>
      <left style="thick">
        <color rgb="FF365F91"/>
      </left>
      <right/>
      <top/>
      <bottom style="medium">
        <color rgb="FF808080"/>
      </bottom>
      <diagonal/>
    </border>
    <border>
      <left/>
      <right style="thick">
        <color rgb="FF365F91"/>
      </right>
      <top/>
      <bottom style="medium">
        <color rgb="FF808080"/>
      </bottom>
      <diagonal/>
    </border>
    <border>
      <left style="thick">
        <color rgb="FF365F91"/>
      </left>
      <right/>
      <top style="thick">
        <color rgb="FF365F91"/>
      </top>
      <bottom style="medium">
        <color rgb="FF808080"/>
      </bottom>
      <diagonal/>
    </border>
    <border>
      <left style="thick">
        <color theme="0" tint="-0.34998626667073579"/>
      </left>
      <right style="thick">
        <color rgb="FF365F91"/>
      </right>
      <top style="thick">
        <color rgb="FF365F91"/>
      </top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 style="thick">
        <color rgb="FF365F91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/>
      <bottom style="medium">
        <color rgb="FF808080"/>
      </bottom>
      <diagonal/>
    </border>
    <border>
      <left style="thick">
        <color rgb="FF365F91"/>
      </left>
      <right style="medium">
        <color rgb="FF808080"/>
      </right>
      <top style="medium">
        <color rgb="FF808080"/>
      </top>
      <bottom/>
      <diagonal/>
    </border>
    <border>
      <left/>
      <right style="thick">
        <color rgb="FF365F91"/>
      </right>
      <top/>
      <bottom/>
      <diagonal/>
    </border>
    <border>
      <left style="thick">
        <color rgb="FF365F91"/>
      </left>
      <right/>
      <top/>
      <bottom/>
      <diagonal/>
    </border>
    <border>
      <left style="thick">
        <color theme="0" tint="-0.34998626667073579"/>
      </left>
      <right style="thick">
        <color rgb="FF365F91"/>
      </right>
      <top/>
      <bottom/>
      <diagonal/>
    </border>
    <border>
      <left style="thick">
        <color rgb="FF365F91"/>
      </left>
      <right style="thick">
        <color rgb="FF365F91"/>
      </right>
      <top/>
      <bottom/>
      <diagonal/>
    </border>
    <border>
      <left style="thick">
        <color rgb="FF365F91"/>
      </left>
      <right style="medium">
        <color rgb="FF808080"/>
      </right>
      <top/>
      <bottom/>
      <diagonal/>
    </border>
    <border>
      <left style="thick">
        <color rgb="FF365F91"/>
      </left>
      <right style="medium">
        <color rgb="FF808080"/>
      </right>
      <top/>
      <bottom style="medium">
        <color rgb="FF808080"/>
      </bottom>
      <diagonal/>
    </border>
    <border>
      <left style="thick">
        <color rgb="FF365F91"/>
      </left>
      <right/>
      <top style="medium">
        <color theme="0" tint="-0.34998626667073579"/>
      </top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 style="medium">
        <color theme="0" tint="-0.34998626667073579"/>
      </top>
      <bottom style="medium">
        <color rgb="FF808080"/>
      </bottom>
      <diagonal/>
    </border>
    <border>
      <left style="thick">
        <color rgb="FF365F91"/>
      </left>
      <right style="medium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rgb="FF365F91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365F91"/>
      </left>
      <right style="thick">
        <color rgb="FF365F91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365F91"/>
      </left>
      <right/>
      <top style="medium">
        <color rgb="FF808080"/>
      </top>
      <bottom style="thick">
        <color rgb="FF365F91"/>
      </bottom>
      <diagonal/>
    </border>
    <border>
      <left/>
      <right style="thick">
        <color rgb="FF365F91"/>
      </right>
      <top style="medium">
        <color rgb="FF808080"/>
      </top>
      <bottom style="thick">
        <color rgb="FF365F91"/>
      </bottom>
      <diagonal/>
    </border>
    <border>
      <left style="thick">
        <color rgb="FF365F91"/>
      </left>
      <right/>
      <top/>
      <bottom style="thick">
        <color rgb="FF365F91"/>
      </bottom>
      <diagonal/>
    </border>
    <border>
      <left style="thick">
        <color rgb="FF365F91"/>
      </left>
      <right style="thick">
        <color rgb="FF365F91"/>
      </right>
      <top/>
      <bottom style="thick">
        <color rgb="FF365F91"/>
      </bottom>
      <diagonal/>
    </border>
    <border>
      <left/>
      <right style="medium">
        <color rgb="FF808080"/>
      </right>
      <top/>
      <bottom style="thick">
        <color rgb="FF365F91"/>
      </bottom>
      <diagonal/>
    </border>
    <border>
      <left/>
      <right style="thick">
        <color rgb="FF365F91"/>
      </right>
      <top/>
      <bottom style="thick">
        <color rgb="FF365F91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/>
      <diagonal/>
    </border>
    <border>
      <left style="thick">
        <color rgb="FF808080"/>
      </left>
      <right style="thick">
        <color rgb="FF808080"/>
      </right>
      <top/>
      <bottom style="dashed">
        <color rgb="FF808080"/>
      </bottom>
      <diagonal/>
    </border>
    <border>
      <left/>
      <right style="thick">
        <color rgb="FF808080"/>
      </right>
      <top/>
      <bottom style="dashed">
        <color rgb="FF808080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365F91"/>
      </top>
      <bottom/>
      <diagonal/>
    </border>
    <border>
      <left style="thick">
        <color theme="0" tint="-0.34998626667073579"/>
      </left>
      <right style="thick">
        <color rgb="FF365F91"/>
      </right>
      <top style="medium">
        <color indexed="64"/>
      </top>
      <bottom/>
      <diagonal/>
    </border>
    <border>
      <left style="thick">
        <color theme="0" tint="-0.34998626667073579"/>
      </left>
      <right/>
      <top style="medium">
        <color indexed="64"/>
      </top>
      <bottom/>
      <diagonal/>
    </border>
    <border>
      <left style="thick">
        <color theme="0" tint="-0.34998626667073579"/>
      </left>
      <right style="thick">
        <color rgb="FF365F91"/>
      </right>
      <top/>
      <bottom style="medium">
        <color indexed="64"/>
      </bottom>
      <diagonal/>
    </border>
    <border>
      <left style="thick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365F91"/>
      </right>
      <top style="medium">
        <color indexed="64"/>
      </top>
      <bottom/>
      <diagonal/>
    </border>
    <border>
      <left style="thick">
        <color rgb="FF365F91"/>
      </left>
      <right style="thick">
        <color rgb="FF365F91"/>
      </right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 style="thick">
        <color rgb="FF365F91"/>
      </left>
      <right style="medium">
        <color indexed="64"/>
      </right>
      <top style="medium">
        <color indexed="64"/>
      </top>
      <bottom/>
      <diagonal/>
    </border>
    <border>
      <left style="thick">
        <color rgb="FF365F91"/>
      </left>
      <right style="thick">
        <color rgb="FF365F91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ck">
        <color rgb="FF365F91"/>
      </right>
      <top/>
      <bottom style="medium">
        <color indexed="64"/>
      </bottom>
      <diagonal/>
    </border>
    <border>
      <left style="thick">
        <color rgb="FF365F9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</cellStyleXfs>
  <cellXfs count="6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5" fillId="0" borderId="0" xfId="0" applyFont="1"/>
    <xf numFmtId="0" fontId="2" fillId="0" borderId="13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9" fontId="2" fillId="0" borderId="0" xfId="0" applyNumberFormat="1" applyFont="1"/>
    <xf numFmtId="9" fontId="3" fillId="0" borderId="0" xfId="0" applyNumberFormat="1" applyFont="1"/>
    <xf numFmtId="0" fontId="3" fillId="2" borderId="5" xfId="0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horizontal="right" vertical="center"/>
    </xf>
    <xf numFmtId="166" fontId="5" fillId="2" borderId="20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9" fontId="6" fillId="2" borderId="20" xfId="1" applyFont="1" applyFill="1" applyBorder="1" applyAlignment="1">
      <alignment horizontal="right" vertical="center"/>
    </xf>
    <xf numFmtId="0" fontId="6" fillId="0" borderId="0" xfId="0" applyFont="1"/>
    <xf numFmtId="164" fontId="5" fillId="0" borderId="0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5" fontId="8" fillId="2" borderId="21" xfId="1" applyNumberFormat="1" applyFont="1" applyFill="1" applyBorder="1"/>
    <xf numFmtId="0" fontId="2" fillId="3" borderId="26" xfId="0" applyFont="1" applyFill="1" applyBorder="1" applyAlignment="1">
      <alignment horizontal="right" vertical="center"/>
    </xf>
    <xf numFmtId="165" fontId="8" fillId="2" borderId="13" xfId="1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vertical="center"/>
    </xf>
    <xf numFmtId="9" fontId="6" fillId="2" borderId="21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/>
    <xf numFmtId="165" fontId="2" fillId="0" borderId="21" xfId="0" applyNumberFormat="1" applyFont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164" fontId="5" fillId="2" borderId="21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164" fontId="2" fillId="0" borderId="21" xfId="0" applyNumberFormat="1" applyFont="1" applyFill="1" applyBorder="1" applyAlignment="1">
      <alignment horizontal="right" vertical="center"/>
    </xf>
    <xf numFmtId="164" fontId="2" fillId="2" borderId="21" xfId="0" applyNumberFormat="1" applyFont="1" applyFill="1" applyBorder="1" applyAlignment="1">
      <alignment horizontal="right" vertic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0" fillId="0" borderId="28" xfId="0" applyFont="1" applyBorder="1"/>
    <xf numFmtId="0" fontId="10" fillId="0" borderId="28" xfId="0" applyFont="1" applyBorder="1" applyAlignment="1">
      <alignment wrapText="1"/>
    </xf>
    <xf numFmtId="0" fontId="11" fillId="4" borderId="28" xfId="0" applyFont="1" applyFill="1" applyBorder="1"/>
    <xf numFmtId="164" fontId="11" fillId="4" borderId="29" xfId="0" applyNumberFormat="1" applyFont="1" applyFill="1" applyBorder="1" applyAlignment="1">
      <alignment horizontal="right" wrapText="1" indent="1"/>
    </xf>
    <xf numFmtId="164" fontId="10" fillId="0" borderId="29" xfId="0" applyNumberFormat="1" applyFont="1" applyBorder="1"/>
    <xf numFmtId="164" fontId="10" fillId="0" borderId="29" xfId="0" applyNumberFormat="1" applyFont="1" applyBorder="1" applyAlignment="1">
      <alignment wrapText="1"/>
    </xf>
    <xf numFmtId="165" fontId="10" fillId="0" borderId="29" xfId="0" applyNumberFormat="1" applyFont="1" applyBorder="1" applyAlignment="1">
      <alignment horizontal="right" wrapText="1" indent="1"/>
    </xf>
    <xf numFmtId="165" fontId="9" fillId="5" borderId="29" xfId="0" applyNumberFormat="1" applyFont="1" applyFill="1" applyBorder="1" applyAlignment="1">
      <alignment horizontal="right" wrapText="1" indent="1"/>
    </xf>
    <xf numFmtId="165" fontId="2" fillId="0" borderId="0" xfId="0" applyNumberFormat="1" applyFont="1"/>
    <xf numFmtId="0" fontId="2" fillId="0" borderId="0" xfId="0" applyFont="1" applyBorder="1" applyAlignment="1">
      <alignment vertical="center"/>
    </xf>
    <xf numFmtId="0" fontId="12" fillId="0" borderId="28" xfId="0" applyFont="1" applyBorder="1"/>
    <xf numFmtId="0" fontId="12" fillId="0" borderId="28" xfId="0" applyFont="1" applyBorder="1" applyAlignment="1">
      <alignment wrapText="1"/>
    </xf>
    <xf numFmtId="165" fontId="3" fillId="0" borderId="0" xfId="0" applyNumberFormat="1" applyFont="1"/>
    <xf numFmtId="0" fontId="13" fillId="0" borderId="0" xfId="0" applyFont="1"/>
    <xf numFmtId="0" fontId="9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9" fillId="6" borderId="21" xfId="0" applyNumberFormat="1" applyFont="1" applyFill="1" applyBorder="1" applyAlignment="1">
      <alignment horizontal="center" vertical="center"/>
    </xf>
    <xf numFmtId="0" fontId="26" fillId="6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0" fillId="0" borderId="32" xfId="0" applyFont="1" applyFill="1" applyBorder="1"/>
    <xf numFmtId="0" fontId="8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8" fillId="7" borderId="21" xfId="0" applyFont="1" applyFill="1" applyBorder="1" applyAlignment="1">
      <alignment vertical="center" wrapText="1"/>
    </xf>
    <xf numFmtId="165" fontId="0" fillId="0" borderId="0" xfId="0" applyNumberFormat="1"/>
    <xf numFmtId="0" fontId="8" fillId="0" borderId="21" xfId="0" applyFont="1" applyBorder="1"/>
    <xf numFmtId="164" fontId="8" fillId="0" borderId="21" xfId="0" applyNumberFormat="1" applyFont="1" applyBorder="1"/>
    <xf numFmtId="0" fontId="4" fillId="0" borderId="21" xfId="0" applyFont="1" applyBorder="1" applyAlignment="1">
      <alignment horizontal="left" indent="2"/>
    </xf>
    <xf numFmtId="164" fontId="4" fillId="0" borderId="21" xfId="0" applyNumberFormat="1" applyFont="1" applyBorder="1"/>
    <xf numFmtId="0" fontId="8" fillId="0" borderId="21" xfId="0" applyFont="1" applyBorder="1" applyAlignment="1">
      <alignment horizontal="left"/>
    </xf>
    <xf numFmtId="0" fontId="5" fillId="2" borderId="21" xfId="0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horizontal="center"/>
    </xf>
    <xf numFmtId="0" fontId="9" fillId="7" borderId="32" xfId="0" applyFont="1" applyFill="1" applyBorder="1"/>
    <xf numFmtId="164" fontId="9" fillId="7" borderId="21" xfId="0" applyNumberFormat="1" applyFont="1" applyFill="1" applyBorder="1"/>
    <xf numFmtId="165" fontId="28" fillId="7" borderId="21" xfId="0" applyNumberFormat="1" applyFont="1" applyFill="1" applyBorder="1" applyAlignment="1">
      <alignment horizontal="center"/>
    </xf>
    <xf numFmtId="0" fontId="9" fillId="0" borderId="32" xfId="0" applyFont="1" applyFill="1" applyBorder="1"/>
    <xf numFmtId="164" fontId="0" fillId="0" borderId="21" xfId="0" applyNumberFormat="1" applyFill="1" applyBorder="1"/>
    <xf numFmtId="165" fontId="28" fillId="0" borderId="21" xfId="0" applyNumberFormat="1" applyFont="1" applyFill="1" applyBorder="1" applyAlignment="1">
      <alignment horizontal="center"/>
    </xf>
    <xf numFmtId="165" fontId="12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/>
    <xf numFmtId="167" fontId="9" fillId="7" borderId="21" xfId="0" applyNumberFormat="1" applyFont="1" applyFill="1" applyBorder="1"/>
    <xf numFmtId="167" fontId="10" fillId="0" borderId="21" xfId="0" applyNumberFormat="1" applyFont="1" applyFill="1" applyBorder="1"/>
    <xf numFmtId="10" fontId="10" fillId="0" borderId="21" xfId="0" applyNumberFormat="1" applyFont="1" applyFill="1" applyBorder="1"/>
    <xf numFmtId="167" fontId="9" fillId="0" borderId="21" xfId="0" applyNumberFormat="1" applyFont="1" applyFill="1" applyBorder="1"/>
    <xf numFmtId="0" fontId="9" fillId="5" borderId="21" xfId="0" applyFont="1" applyFill="1" applyBorder="1"/>
    <xf numFmtId="164" fontId="9" fillId="5" borderId="21" xfId="0" applyNumberFormat="1" applyFont="1" applyFill="1" applyBorder="1"/>
    <xf numFmtId="165" fontId="28" fillId="5" borderId="21" xfId="0" applyNumberFormat="1" applyFont="1" applyFill="1" applyBorder="1" applyAlignment="1">
      <alignment horizontal="center"/>
    </xf>
    <xf numFmtId="0" fontId="0" fillId="0" borderId="21" xfId="0" applyBorder="1"/>
    <xf numFmtId="0" fontId="9" fillId="7" borderId="21" xfId="0" applyFont="1" applyFill="1" applyBorder="1"/>
    <xf numFmtId="167" fontId="0" fillId="0" borderId="21" xfId="0" applyNumberFormat="1" applyBorder="1"/>
    <xf numFmtId="167" fontId="8" fillId="0" borderId="21" xfId="0" applyNumberFormat="1" applyFont="1" applyBorder="1"/>
    <xf numFmtId="164" fontId="16" fillId="0" borderId="0" xfId="0" applyNumberFormat="1" applyFont="1"/>
    <xf numFmtId="164" fontId="14" fillId="0" borderId="0" xfId="0" applyNumberFormat="1" applyFont="1"/>
    <xf numFmtId="164" fontId="0" fillId="0" borderId="0" xfId="0" applyNumberFormat="1"/>
    <xf numFmtId="164" fontId="17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164" fontId="25" fillId="0" borderId="0" xfId="0" applyNumberFormat="1" applyFont="1"/>
    <xf numFmtId="0" fontId="29" fillId="0" borderId="0" xfId="0" applyFont="1"/>
    <xf numFmtId="165" fontId="30" fillId="0" borderId="33" xfId="0" applyNumberFormat="1" applyFont="1" applyFill="1" applyBorder="1"/>
    <xf numFmtId="0" fontId="31" fillId="0" borderId="0" xfId="0" applyFont="1"/>
    <xf numFmtId="0" fontId="9" fillId="4" borderId="30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1" fillId="4" borderId="41" xfId="0" applyFont="1" applyFill="1" applyBorder="1"/>
    <xf numFmtId="164" fontId="9" fillId="9" borderId="21" xfId="0" applyNumberFormat="1" applyFont="1" applyFill="1" applyBorder="1"/>
    <xf numFmtId="164" fontId="30" fillId="0" borderId="0" xfId="0" applyNumberFormat="1" applyFont="1"/>
    <xf numFmtId="165" fontId="10" fillId="0" borderId="21" xfId="0" applyNumberFormat="1" applyFont="1" applyBorder="1"/>
    <xf numFmtId="165" fontId="9" fillId="9" borderId="21" xfId="0" applyNumberFormat="1" applyFont="1" applyFill="1" applyBorder="1"/>
    <xf numFmtId="167" fontId="10" fillId="0" borderId="21" xfId="0" applyNumberFormat="1" applyFont="1" applyBorder="1"/>
    <xf numFmtId="167" fontId="9" fillId="9" borderId="21" xfId="0" applyNumberFormat="1" applyFont="1" applyFill="1" applyBorder="1"/>
    <xf numFmtId="165" fontId="30" fillId="0" borderId="0" xfId="0" applyNumberFormat="1" applyFont="1"/>
    <xf numFmtId="168" fontId="8" fillId="0" borderId="21" xfId="0" applyNumberFormat="1" applyFont="1" applyBorder="1"/>
    <xf numFmtId="168" fontId="12" fillId="0" borderId="21" xfId="0" applyNumberFormat="1" applyFont="1" applyBorder="1"/>
    <xf numFmtId="168" fontId="3" fillId="0" borderId="13" xfId="1" applyNumberFormat="1" applyFont="1" applyBorder="1"/>
    <xf numFmtId="168" fontId="3" fillId="0" borderId="14" xfId="1" applyNumberFormat="1" applyFont="1" applyBorder="1"/>
    <xf numFmtId="168" fontId="3" fillId="0" borderId="19" xfId="1" applyNumberFormat="1" applyFont="1" applyBorder="1"/>
    <xf numFmtId="168" fontId="3" fillId="2" borderId="21" xfId="1" applyNumberFormat="1" applyFont="1" applyFill="1" applyBorder="1"/>
    <xf numFmtId="164" fontId="33" fillId="7" borderId="21" xfId="0" applyNumberFormat="1" applyFont="1" applyFill="1" applyBorder="1"/>
    <xf numFmtId="164" fontId="34" fillId="0" borderId="21" xfId="0" applyNumberFormat="1" applyFont="1" applyFill="1" applyBorder="1"/>
    <xf numFmtId="3" fontId="35" fillId="0" borderId="21" xfId="0" applyNumberFormat="1" applyFont="1" applyFill="1" applyBorder="1"/>
    <xf numFmtId="167" fontId="33" fillId="7" borderId="21" xfId="0" applyNumberFormat="1" applyFont="1" applyFill="1" applyBorder="1"/>
    <xf numFmtId="167" fontId="35" fillId="0" borderId="21" xfId="0" applyNumberFormat="1" applyFont="1" applyFill="1" applyBorder="1"/>
    <xf numFmtId="10" fontId="35" fillId="0" borderId="21" xfId="0" applyNumberFormat="1" applyFont="1" applyFill="1" applyBorder="1"/>
    <xf numFmtId="167" fontId="33" fillId="0" borderId="21" xfId="0" applyNumberFormat="1" applyFont="1" applyFill="1" applyBorder="1"/>
    <xf numFmtId="0" fontId="34" fillId="0" borderId="0" xfId="0" applyFont="1"/>
    <xf numFmtId="167" fontId="0" fillId="10" borderId="21" xfId="0" applyNumberFormat="1" applyFill="1" applyBorder="1"/>
    <xf numFmtId="168" fontId="2" fillId="0" borderId="0" xfId="0" applyNumberFormat="1" applyFont="1"/>
    <xf numFmtId="0" fontId="2" fillId="3" borderId="21" xfId="0" applyFont="1" applyFill="1" applyBorder="1" applyAlignment="1">
      <alignment horizontal="center" vertical="center"/>
    </xf>
    <xf numFmtId="165" fontId="28" fillId="7" borderId="33" xfId="0" applyNumberFormat="1" applyFont="1" applyFill="1" applyBorder="1" applyAlignment="1">
      <alignment horizontal="center"/>
    </xf>
    <xf numFmtId="167" fontId="34" fillId="0" borderId="0" xfId="0" applyNumberFormat="1" applyFont="1"/>
    <xf numFmtId="0" fontId="8" fillId="11" borderId="0" xfId="0" applyFont="1" applyFill="1"/>
    <xf numFmtId="0" fontId="39" fillId="0" borderId="0" xfId="0" applyFont="1"/>
    <xf numFmtId="166" fontId="39" fillId="0" borderId="0" xfId="0" applyNumberFormat="1" applyFont="1"/>
    <xf numFmtId="0" fontId="28" fillId="0" borderId="0" xfId="0" applyFont="1" applyFill="1" applyBorder="1" applyAlignment="1">
      <alignment horizontal="right" indent="2"/>
    </xf>
    <xf numFmtId="0" fontId="37" fillId="0" borderId="0" xfId="0" applyFont="1" applyFill="1"/>
    <xf numFmtId="164" fontId="38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left" vertical="center"/>
    </xf>
    <xf numFmtId="164" fontId="39" fillId="0" borderId="0" xfId="0" applyNumberFormat="1" applyFont="1"/>
    <xf numFmtId="1" fontId="39" fillId="0" borderId="0" xfId="0" applyNumberFormat="1" applyFont="1"/>
    <xf numFmtId="0" fontId="41" fillId="0" borderId="0" xfId="0" applyFont="1" applyAlignment="1">
      <alignment horizontal="right"/>
    </xf>
    <xf numFmtId="164" fontId="41" fillId="0" borderId="0" xfId="0" applyNumberFormat="1" applyFont="1"/>
    <xf numFmtId="0" fontId="2" fillId="0" borderId="23" xfId="0" applyFont="1" applyBorder="1" applyAlignment="1">
      <alignment horizontal="center" vertical="center"/>
    </xf>
    <xf numFmtId="0" fontId="4" fillId="0" borderId="28" xfId="0" applyFont="1" applyBorder="1"/>
    <xf numFmtId="0" fontId="12" fillId="0" borderId="28" xfId="0" applyFont="1" applyBorder="1" applyAlignment="1">
      <alignment horizontal="left" wrapText="1"/>
    </xf>
    <xf numFmtId="164" fontId="20" fillId="13" borderId="0" xfId="0" applyNumberFormat="1" applyFont="1" applyFill="1"/>
    <xf numFmtId="164" fontId="22" fillId="13" borderId="0" xfId="0" applyNumberFormat="1" applyFont="1" applyFill="1"/>
    <xf numFmtId="0" fontId="42" fillId="0" borderId="0" xfId="0" applyFont="1"/>
    <xf numFmtId="0" fontId="43" fillId="0" borderId="0" xfId="0" applyFont="1"/>
    <xf numFmtId="164" fontId="43" fillId="0" borderId="0" xfId="0" applyNumberFormat="1" applyFont="1"/>
    <xf numFmtId="164" fontId="42" fillId="13" borderId="0" xfId="0" applyNumberFormat="1" applyFont="1" applyFill="1"/>
    <xf numFmtId="0" fontId="4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168" fontId="0" fillId="0" borderId="0" xfId="0" applyNumberFormat="1"/>
    <xf numFmtId="167" fontId="0" fillId="0" borderId="0" xfId="0" applyNumberFormat="1"/>
    <xf numFmtId="0" fontId="10" fillId="16" borderId="47" xfId="0" applyFont="1" applyFill="1" applyBorder="1" applyAlignment="1">
      <alignment vertical="center" wrapText="1"/>
    </xf>
    <xf numFmtId="169" fontId="10" fillId="16" borderId="46" xfId="0" applyNumberFormat="1" applyFont="1" applyFill="1" applyBorder="1" applyAlignment="1">
      <alignment horizontal="right" vertical="center" wrapText="1"/>
    </xf>
    <xf numFmtId="0" fontId="10" fillId="17" borderId="47" xfId="0" applyFont="1" applyFill="1" applyBorder="1" applyAlignment="1">
      <alignment vertical="center" wrapText="1"/>
    </xf>
    <xf numFmtId="169" fontId="10" fillId="17" borderId="46" xfId="0" applyNumberFormat="1" applyFont="1" applyFill="1" applyBorder="1" applyAlignment="1">
      <alignment horizontal="right" vertical="center" wrapText="1"/>
    </xf>
    <xf numFmtId="0" fontId="9" fillId="15" borderId="47" xfId="0" applyFont="1" applyFill="1" applyBorder="1" applyAlignment="1">
      <alignment horizontal="right" vertical="center" wrapText="1"/>
    </xf>
    <xf numFmtId="169" fontId="9" fillId="15" borderId="46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8" fillId="0" borderId="0" xfId="0" applyFont="1" applyFill="1"/>
    <xf numFmtId="170" fontId="8" fillId="18" borderId="21" xfId="1" applyNumberFormat="1" applyFont="1" applyFill="1" applyBorder="1"/>
    <xf numFmtId="0" fontId="0" fillId="6" borderId="21" xfId="0" applyFill="1" applyBorder="1" applyAlignment="1"/>
    <xf numFmtId="0" fontId="2" fillId="0" borderId="21" xfId="0" applyFont="1" applyBorder="1" applyAlignment="1">
      <alignment horizontal="center"/>
    </xf>
    <xf numFmtId="164" fontId="48" fillId="0" borderId="0" xfId="0" applyNumberFormat="1" applyFont="1"/>
    <xf numFmtId="164" fontId="18" fillId="19" borderId="0" xfId="0" applyNumberFormat="1" applyFont="1" applyFill="1"/>
    <xf numFmtId="164" fontId="24" fillId="20" borderId="0" xfId="0" applyNumberFormat="1" applyFont="1" applyFill="1"/>
    <xf numFmtId="164" fontId="42" fillId="20" borderId="0" xfId="0" applyNumberFormat="1" applyFont="1" applyFill="1"/>
    <xf numFmtId="0" fontId="8" fillId="7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165" fontId="3" fillId="19" borderId="13" xfId="1" applyNumberFormat="1" applyFont="1" applyFill="1" applyBorder="1"/>
    <xf numFmtId="170" fontId="3" fillId="19" borderId="13" xfId="1" applyNumberFormat="1" applyFont="1" applyFill="1" applyBorder="1"/>
    <xf numFmtId="164" fontId="32" fillId="12" borderId="0" xfId="0" applyNumberFormat="1" applyFont="1" applyFill="1"/>
    <xf numFmtId="164" fontId="35" fillId="0" borderId="21" xfId="0" applyNumberFormat="1" applyFont="1" applyFill="1" applyBorder="1"/>
    <xf numFmtId="0" fontId="1" fillId="0" borderId="0" xfId="0" applyFont="1"/>
    <xf numFmtId="165" fontId="0" fillId="0" borderId="0" xfId="1" applyNumberFormat="1" applyFont="1"/>
    <xf numFmtId="165" fontId="34" fillId="0" borderId="0" xfId="0" applyNumberFormat="1" applyFont="1"/>
    <xf numFmtId="165" fontId="12" fillId="0" borderId="21" xfId="1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7" fontId="29" fillId="21" borderId="21" xfId="0" applyNumberFormat="1" applyFont="1" applyFill="1" applyBorder="1" applyAlignment="1">
      <alignment horizontal="right"/>
    </xf>
    <xf numFmtId="165" fontId="6" fillId="2" borderId="21" xfId="0" applyNumberFormat="1" applyFont="1" applyFill="1" applyBorder="1" applyAlignment="1">
      <alignment vertical="center"/>
    </xf>
    <xf numFmtId="165" fontId="6" fillId="2" borderId="20" xfId="1" applyNumberFormat="1" applyFont="1" applyFill="1" applyBorder="1" applyAlignment="1">
      <alignment horizontal="right" vertical="center"/>
    </xf>
    <xf numFmtId="0" fontId="51" fillId="0" borderId="0" xfId="0" applyFont="1"/>
    <xf numFmtId="0" fontId="52" fillId="0" borderId="0" xfId="0" applyFont="1"/>
    <xf numFmtId="0" fontId="52" fillId="0" borderId="7" xfId="0" applyFont="1" applyBorder="1" applyAlignment="1">
      <alignment horizontal="center" vertical="center"/>
    </xf>
    <xf numFmtId="164" fontId="8" fillId="0" borderId="21" xfId="0" applyNumberFormat="1" applyFont="1" applyFill="1" applyBorder="1"/>
    <xf numFmtId="164" fontId="4" fillId="0" borderId="21" xfId="0" applyNumberFormat="1" applyFont="1" applyFill="1" applyBorder="1"/>
    <xf numFmtId="164" fontId="10" fillId="0" borderId="21" xfId="0" applyNumberFormat="1" applyFont="1" applyFill="1" applyBorder="1"/>
    <xf numFmtId="169" fontId="10" fillId="19" borderId="46" xfId="0" applyNumberFormat="1" applyFont="1" applyFill="1" applyBorder="1" applyAlignment="1">
      <alignment horizontal="right" vertical="center" wrapText="1"/>
    </xf>
    <xf numFmtId="0" fontId="2" fillId="19" borderId="0" xfId="0" applyFont="1" applyFill="1"/>
    <xf numFmtId="0" fontId="3" fillId="0" borderId="4" xfId="0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>
      <alignment horizontal="right" vertical="center"/>
    </xf>
    <xf numFmtId="166" fontId="3" fillId="0" borderId="18" xfId="0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horizontal="center" vertical="center" wrapText="1"/>
    </xf>
    <xf numFmtId="164" fontId="32" fillId="0" borderId="0" xfId="0" applyNumberFormat="1" applyFont="1" applyFill="1"/>
    <xf numFmtId="164" fontId="2" fillId="20" borderId="21" xfId="0" applyNumberFormat="1" applyFont="1" applyFill="1" applyBorder="1" applyAlignment="1">
      <alignment horizontal="right" vertical="center"/>
    </xf>
    <xf numFmtId="0" fontId="12" fillId="22" borderId="28" xfId="0" applyFont="1" applyFill="1" applyBorder="1" applyAlignment="1">
      <alignment wrapText="1"/>
    </xf>
    <xf numFmtId="168" fontId="12" fillId="22" borderId="29" xfId="0" applyNumberFormat="1" applyFont="1" applyFill="1" applyBorder="1" applyAlignment="1">
      <alignment horizontal="center" wrapText="1"/>
    </xf>
    <xf numFmtId="168" fontId="28" fillId="22" borderId="29" xfId="0" applyNumberFormat="1" applyFont="1" applyFill="1" applyBorder="1" applyAlignment="1">
      <alignment horizontal="center" wrapText="1"/>
    </xf>
    <xf numFmtId="0" fontId="51" fillId="0" borderId="8" xfId="0" applyFont="1" applyBorder="1" applyAlignment="1">
      <alignment vertical="center"/>
    </xf>
    <xf numFmtId="167" fontId="6" fillId="0" borderId="0" xfId="0" applyNumberFormat="1" applyFont="1"/>
    <xf numFmtId="165" fontId="6" fillId="0" borderId="0" xfId="1" applyNumberFormat="1" applyFont="1"/>
    <xf numFmtId="167" fontId="57" fillId="0" borderId="0" xfId="0" applyNumberFormat="1" applyFont="1"/>
    <xf numFmtId="164" fontId="6" fillId="0" borderId="0" xfId="0" applyNumberFormat="1" applyFont="1"/>
    <xf numFmtId="165" fontId="57" fillId="0" borderId="0" xfId="1" applyNumberFormat="1" applyFont="1"/>
    <xf numFmtId="165" fontId="6" fillId="0" borderId="0" xfId="0" applyNumberFormat="1" applyFont="1"/>
    <xf numFmtId="0" fontId="1" fillId="19" borderId="0" xfId="0" applyFont="1" applyFill="1"/>
    <xf numFmtId="165" fontId="0" fillId="19" borderId="0" xfId="1" applyNumberFormat="1" applyFont="1" applyFill="1"/>
    <xf numFmtId="165" fontId="55" fillId="19" borderId="0" xfId="0" applyNumberFormat="1" applyFont="1" applyFill="1"/>
    <xf numFmtId="167" fontId="55" fillId="19" borderId="0" xfId="0" applyNumberFormat="1" applyFont="1" applyFill="1"/>
    <xf numFmtId="0" fontId="10" fillId="0" borderId="0" xfId="0" applyFont="1"/>
    <xf numFmtId="3" fontId="10" fillId="25" borderId="0" xfId="0" applyNumberFormat="1" applyFont="1" applyFill="1"/>
    <xf numFmtId="0" fontId="58" fillId="0" borderId="0" xfId="0" applyFont="1"/>
    <xf numFmtId="165" fontId="10" fillId="25" borderId="0" xfId="1" applyNumberFormat="1" applyFont="1" applyFill="1"/>
    <xf numFmtId="0" fontId="59" fillId="0" borderId="0" xfId="0" applyFont="1"/>
    <xf numFmtId="3" fontId="10" fillId="26" borderId="0" xfId="0" applyNumberFormat="1" applyFont="1" applyFill="1"/>
    <xf numFmtId="165" fontId="10" fillId="26" borderId="0" xfId="1" applyNumberFormat="1" applyFont="1" applyFill="1"/>
    <xf numFmtId="0" fontId="61" fillId="0" borderId="0" xfId="0" quotePrefix="1" applyFont="1" applyFill="1"/>
    <xf numFmtId="0" fontId="10" fillId="0" borderId="0" xfId="0" applyFont="1" applyFill="1"/>
    <xf numFmtId="0" fontId="64" fillId="23" borderId="53" xfId="3" applyFont="1" applyFill="1" applyBorder="1" applyAlignment="1">
      <alignment horizontal="right" vertical="center"/>
    </xf>
    <xf numFmtId="0" fontId="65" fillId="0" borderId="55" xfId="3" applyFont="1" applyBorder="1" applyAlignment="1">
      <alignment horizontal="left" vertical="center"/>
    </xf>
    <xf numFmtId="3" fontId="66" fillId="0" borderId="55" xfId="0" applyNumberFormat="1" applyFont="1" applyFill="1" applyBorder="1" applyAlignment="1">
      <alignment horizontal="right" vertical="center"/>
    </xf>
    <xf numFmtId="0" fontId="65" fillId="0" borderId="56" xfId="3" applyFont="1" applyBorder="1" applyAlignment="1">
      <alignment horizontal="left" vertical="center"/>
    </xf>
    <xf numFmtId="3" fontId="66" fillId="0" borderId="56" xfId="0" applyNumberFormat="1" applyFont="1" applyFill="1" applyBorder="1" applyAlignment="1">
      <alignment horizontal="right" vertical="center"/>
    </xf>
    <xf numFmtId="171" fontId="10" fillId="0" borderId="0" xfId="4" applyNumberFormat="1" applyFont="1"/>
    <xf numFmtId="3" fontId="10" fillId="0" borderId="0" xfId="0" applyNumberFormat="1" applyFont="1"/>
    <xf numFmtId="0" fontId="68" fillId="0" borderId="61" xfId="3" applyFont="1" applyBorder="1" applyAlignment="1">
      <alignment horizontal="left" vertical="center"/>
    </xf>
    <xf numFmtId="3" fontId="69" fillId="0" borderId="62" xfId="3" applyNumberFormat="1" applyFont="1" applyFill="1" applyBorder="1" applyAlignment="1">
      <alignment horizontal="right" vertical="center"/>
    </xf>
    <xf numFmtId="3" fontId="68" fillId="0" borderId="62" xfId="3" applyNumberFormat="1" applyFont="1" applyFill="1" applyBorder="1" applyAlignment="1">
      <alignment horizontal="right" vertical="center"/>
    </xf>
    <xf numFmtId="3" fontId="69" fillId="0" borderId="63" xfId="3" applyNumberFormat="1" applyFont="1" applyFill="1" applyBorder="1" applyAlignment="1">
      <alignment horizontal="right" vertical="center"/>
    </xf>
    <xf numFmtId="165" fontId="10" fillId="0" borderId="0" xfId="1" applyNumberFormat="1" applyFont="1"/>
    <xf numFmtId="164" fontId="65" fillId="0" borderId="56" xfId="3" applyNumberFormat="1" applyFont="1" applyBorder="1" applyAlignment="1">
      <alignment horizontal="left" vertical="center"/>
    </xf>
    <xf numFmtId="3" fontId="71" fillId="0" borderId="68" xfId="3" applyNumberFormat="1" applyFont="1" applyFill="1" applyBorder="1" applyAlignment="1">
      <alignment horizontal="right" vertical="center"/>
    </xf>
    <xf numFmtId="3" fontId="71" fillId="0" borderId="69" xfId="3" applyNumberFormat="1" applyFont="1" applyBorder="1" applyAlignment="1">
      <alignment horizontal="right" vertical="center"/>
    </xf>
    <xf numFmtId="3" fontId="71" fillId="0" borderId="70" xfId="3" applyNumberFormat="1" applyFont="1" applyBorder="1" applyAlignment="1">
      <alignment horizontal="right" vertical="center"/>
    </xf>
    <xf numFmtId="165" fontId="10" fillId="19" borderId="0" xfId="0" applyNumberFormat="1" applyFont="1" applyFill="1"/>
    <xf numFmtId="0" fontId="9" fillId="13" borderId="80" xfId="0" applyFont="1" applyFill="1" applyBorder="1" applyAlignment="1">
      <alignment horizontal="right" vertical="center"/>
    </xf>
    <xf numFmtId="0" fontId="9" fillId="13" borderId="81" xfId="0" applyFont="1" applyFill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 wrapText="1"/>
    </xf>
    <xf numFmtId="0" fontId="9" fillId="0" borderId="83" xfId="0" applyFont="1" applyBorder="1" applyAlignment="1">
      <alignment horizontal="right" vertical="center"/>
    </xf>
    <xf numFmtId="0" fontId="9" fillId="0" borderId="79" xfId="0" applyFont="1" applyBorder="1" applyAlignment="1">
      <alignment horizontal="right" vertical="center"/>
    </xf>
    <xf numFmtId="0" fontId="10" fillId="0" borderId="86" xfId="0" applyFont="1" applyBorder="1" applyAlignment="1">
      <alignment horizontal="left" vertical="center"/>
    </xf>
    <xf numFmtId="3" fontId="73" fillId="13" borderId="87" xfId="0" applyNumberFormat="1" applyFont="1" applyFill="1" applyBorder="1" applyAlignment="1">
      <alignment horizontal="right" vertical="center"/>
    </xf>
    <xf numFmtId="170" fontId="73" fillId="13" borderId="88" xfId="0" applyNumberFormat="1" applyFont="1" applyFill="1" applyBorder="1" applyAlignment="1">
      <alignment horizontal="right" vertical="center"/>
    </xf>
    <xf numFmtId="171" fontId="73" fillId="0" borderId="89" xfId="4" applyNumberFormat="1" applyFont="1" applyBorder="1" applyAlignment="1">
      <alignment horizontal="right" vertical="center"/>
    </xf>
    <xf numFmtId="170" fontId="73" fillId="0" borderId="59" xfId="0" applyNumberFormat="1" applyFont="1" applyBorder="1" applyAlignment="1">
      <alignment horizontal="right" vertical="center" wrapText="1"/>
    </xf>
    <xf numFmtId="170" fontId="73" fillId="0" borderId="86" xfId="0" applyNumberFormat="1" applyFont="1" applyBorder="1" applyAlignment="1">
      <alignment horizontal="right" vertical="center" wrapText="1"/>
    </xf>
    <xf numFmtId="170" fontId="74" fillId="16" borderId="89" xfId="0" applyNumberFormat="1" applyFont="1" applyFill="1" applyBorder="1" applyAlignment="1">
      <alignment horizontal="right" vertical="center" wrapText="1"/>
    </xf>
    <xf numFmtId="172" fontId="74" fillId="16" borderId="89" xfId="0" applyNumberFormat="1" applyFont="1" applyFill="1" applyBorder="1" applyAlignment="1">
      <alignment horizontal="right" vertical="center" wrapText="1"/>
    </xf>
    <xf numFmtId="0" fontId="10" fillId="0" borderId="79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3" fontId="75" fillId="13" borderId="92" xfId="0" applyNumberFormat="1" applyFont="1" applyFill="1" applyBorder="1" applyAlignment="1">
      <alignment horizontal="right" vertical="center"/>
    </xf>
    <xf numFmtId="170" fontId="75" fillId="13" borderId="88" xfId="0" applyNumberFormat="1" applyFont="1" applyFill="1" applyBorder="1" applyAlignment="1">
      <alignment horizontal="right" vertical="center"/>
    </xf>
    <xf numFmtId="171" fontId="75" fillId="0" borderId="93" xfId="4" applyNumberFormat="1" applyFont="1" applyBorder="1" applyAlignment="1">
      <alignment horizontal="right" vertical="center"/>
    </xf>
    <xf numFmtId="170" fontId="76" fillId="0" borderId="94" xfId="0" applyNumberFormat="1" applyFont="1" applyBorder="1" applyAlignment="1">
      <alignment horizontal="right" vertical="center" wrapText="1"/>
    </xf>
    <xf numFmtId="170" fontId="76" fillId="0" borderId="95" xfId="0" applyNumberFormat="1" applyFont="1" applyBorder="1" applyAlignment="1">
      <alignment horizontal="right" vertical="center" wrapText="1"/>
    </xf>
    <xf numFmtId="170" fontId="76" fillId="0" borderId="96" xfId="0" applyNumberFormat="1" applyFont="1" applyBorder="1" applyAlignment="1">
      <alignment horizontal="right" vertical="center" wrapText="1"/>
    </xf>
    <xf numFmtId="170" fontId="72" fillId="16" borderId="97" xfId="0" applyNumberFormat="1" applyFont="1" applyFill="1" applyBorder="1" applyAlignment="1">
      <alignment horizontal="right" vertical="center" wrapText="1"/>
    </xf>
    <xf numFmtId="172" fontId="72" fillId="16" borderId="89" xfId="0" applyNumberFormat="1" applyFont="1" applyFill="1" applyBorder="1" applyAlignment="1">
      <alignment horizontal="right" vertical="center" wrapText="1"/>
    </xf>
    <xf numFmtId="3" fontId="73" fillId="13" borderId="78" xfId="0" applyNumberFormat="1" applyFont="1" applyFill="1" applyBorder="1" applyAlignment="1">
      <alignment horizontal="right" vertical="center"/>
    </xf>
    <xf numFmtId="171" fontId="73" fillId="0" borderId="84" xfId="4" applyNumberFormat="1" applyFont="1" applyBorder="1" applyAlignment="1">
      <alignment horizontal="right" vertical="center"/>
    </xf>
    <xf numFmtId="3" fontId="75" fillId="13" borderId="78" xfId="0" applyNumberFormat="1" applyFont="1" applyFill="1" applyBorder="1" applyAlignment="1">
      <alignment horizontal="right" vertical="center"/>
    </xf>
    <xf numFmtId="171" fontId="75" fillId="0" borderId="84" xfId="4" applyNumberFormat="1" applyFont="1" applyBorder="1" applyAlignment="1">
      <alignment horizontal="right" vertical="center"/>
    </xf>
    <xf numFmtId="3" fontId="9" fillId="13" borderId="100" xfId="0" applyNumberFormat="1" applyFont="1" applyFill="1" applyBorder="1" applyAlignment="1">
      <alignment horizontal="right" vertical="center"/>
    </xf>
    <xf numFmtId="165" fontId="9" fillId="13" borderId="100" xfId="0" applyNumberFormat="1" applyFont="1" applyFill="1" applyBorder="1" applyAlignment="1">
      <alignment horizontal="right" vertical="center"/>
    </xf>
    <xf numFmtId="171" fontId="9" fillId="0" borderId="101" xfId="4" applyNumberFormat="1" applyFont="1" applyBorder="1" applyAlignment="1">
      <alignment horizontal="right" vertical="center"/>
    </xf>
    <xf numFmtId="170" fontId="76" fillId="0" borderId="102" xfId="0" applyNumberFormat="1" applyFont="1" applyBorder="1" applyAlignment="1">
      <alignment horizontal="right" vertical="center" wrapText="1"/>
    </xf>
    <xf numFmtId="170" fontId="76" fillId="0" borderId="103" xfId="0" applyNumberFormat="1" applyFont="1" applyBorder="1" applyAlignment="1">
      <alignment horizontal="right" vertical="center" wrapText="1"/>
    </xf>
    <xf numFmtId="170" fontId="72" fillId="16" borderId="101" xfId="0" applyNumberFormat="1" applyFont="1" applyFill="1" applyBorder="1" applyAlignment="1">
      <alignment horizontal="right" vertical="center" wrapText="1"/>
    </xf>
    <xf numFmtId="172" fontId="72" fillId="16" borderId="101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vertical="top" wrapText="1"/>
    </xf>
    <xf numFmtId="0" fontId="10" fillId="0" borderId="0" xfId="0" applyFont="1" applyFill="1" applyBorder="1"/>
    <xf numFmtId="0" fontId="64" fillId="0" borderId="0" xfId="3" applyFont="1" applyFill="1" applyBorder="1" applyAlignment="1">
      <alignment horizontal="right" vertical="center"/>
    </xf>
    <xf numFmtId="164" fontId="66" fillId="0" borderId="104" xfId="0" applyNumberFormat="1" applyFont="1" applyFill="1" applyBorder="1" applyAlignment="1">
      <alignment horizontal="right" vertical="center"/>
    </xf>
    <xf numFmtId="164" fontId="66" fillId="27" borderId="55" xfId="0" applyNumberFormat="1" applyFont="1" applyFill="1" applyBorder="1" applyAlignment="1">
      <alignment horizontal="right" vertical="center"/>
    </xf>
    <xf numFmtId="164" fontId="66" fillId="0" borderId="0" xfId="0" applyNumberFormat="1" applyFont="1" applyFill="1" applyBorder="1" applyAlignment="1">
      <alignment horizontal="right" vertical="center"/>
    </xf>
    <xf numFmtId="164" fontId="66" fillId="0" borderId="105" xfId="0" applyNumberFormat="1" applyFont="1" applyFill="1" applyBorder="1" applyAlignment="1">
      <alignment horizontal="right" vertical="center"/>
    </xf>
    <xf numFmtId="164" fontId="66" fillId="27" borderId="56" xfId="0" applyNumberFormat="1" applyFont="1" applyFill="1" applyBorder="1" applyAlignment="1">
      <alignment horizontal="right" vertical="center"/>
    </xf>
    <xf numFmtId="164" fontId="66" fillId="0" borderId="106" xfId="0" applyNumberFormat="1" applyFont="1" applyFill="1" applyBorder="1" applyAlignment="1">
      <alignment horizontal="right" vertical="center"/>
    </xf>
    <xf numFmtId="164" fontId="66" fillId="27" borderId="107" xfId="0" applyNumberFormat="1" applyFont="1" applyFill="1" applyBorder="1" applyAlignment="1">
      <alignment horizontal="right" vertical="center"/>
    </xf>
    <xf numFmtId="164" fontId="69" fillId="0" borderId="56" xfId="0" applyNumberFormat="1" applyFont="1" applyFill="1" applyBorder="1" applyAlignment="1">
      <alignment horizontal="right" vertical="center"/>
    </xf>
    <xf numFmtId="164" fontId="69" fillId="27" borderId="56" xfId="0" applyNumberFormat="1" applyFont="1" applyFill="1" applyBorder="1" applyAlignment="1">
      <alignment horizontal="right" vertical="center"/>
    </xf>
    <xf numFmtId="0" fontId="68" fillId="0" borderId="0" xfId="3" applyFont="1" applyFill="1" applyBorder="1" applyAlignment="1">
      <alignment horizontal="left" vertical="center"/>
    </xf>
    <xf numFmtId="164" fontId="69" fillId="0" borderId="0" xfId="0" applyNumberFormat="1" applyFont="1" applyFill="1" applyBorder="1" applyAlignment="1">
      <alignment horizontal="right" vertical="center"/>
    </xf>
    <xf numFmtId="164" fontId="66" fillId="27" borderId="104" xfId="0" applyNumberFormat="1" applyFont="1" applyFill="1" applyBorder="1" applyAlignment="1">
      <alignment horizontal="right" vertical="center"/>
    </xf>
    <xf numFmtId="164" fontId="66" fillId="27" borderId="106" xfId="0" applyNumberFormat="1" applyFont="1" applyFill="1" applyBorder="1" applyAlignment="1">
      <alignment horizontal="right" vertical="center"/>
    </xf>
    <xf numFmtId="164" fontId="65" fillId="0" borderId="0" xfId="3" applyNumberFormat="1" applyFont="1" applyFill="1" applyBorder="1" applyAlignment="1">
      <alignment horizontal="left" vertical="center"/>
    </xf>
    <xf numFmtId="164" fontId="78" fillId="0" borderId="69" xfId="0" applyNumberFormat="1" applyFont="1" applyFill="1" applyBorder="1" applyAlignment="1">
      <alignment horizontal="right" vertical="center"/>
    </xf>
    <xf numFmtId="164" fontId="78" fillId="27" borderId="67" xfId="0" applyNumberFormat="1" applyFont="1" applyFill="1" applyBorder="1" applyAlignment="1">
      <alignment horizontal="right" vertical="center"/>
    </xf>
    <xf numFmtId="2" fontId="73" fillId="13" borderId="89" xfId="0" applyNumberFormat="1" applyFont="1" applyFill="1" applyBorder="1" applyAlignment="1">
      <alignment horizontal="right" vertical="center"/>
    </xf>
    <xf numFmtId="170" fontId="73" fillId="13" borderId="89" xfId="0" applyNumberFormat="1" applyFont="1" applyFill="1" applyBorder="1" applyAlignment="1">
      <alignment horizontal="right" vertical="center"/>
    </xf>
    <xf numFmtId="2" fontId="73" fillId="0" borderId="89" xfId="0" applyNumberFormat="1" applyFont="1" applyBorder="1" applyAlignment="1">
      <alignment horizontal="right" vertical="center"/>
    </xf>
    <xf numFmtId="10" fontId="10" fillId="0" borderId="0" xfId="1" applyNumberFormat="1" applyFont="1"/>
    <xf numFmtId="2" fontId="75" fillId="13" borderId="89" xfId="0" applyNumberFormat="1" applyFont="1" applyFill="1" applyBorder="1" applyAlignment="1">
      <alignment horizontal="right" vertical="center"/>
    </xf>
    <xf numFmtId="170" fontId="75" fillId="13" borderId="89" xfId="0" applyNumberFormat="1" applyFont="1" applyFill="1" applyBorder="1" applyAlignment="1">
      <alignment horizontal="right" vertical="center"/>
    </xf>
    <xf numFmtId="2" fontId="75" fillId="0" borderId="93" xfId="0" applyNumberFormat="1" applyFont="1" applyBorder="1" applyAlignment="1">
      <alignment horizontal="right" vertical="center"/>
    </xf>
    <xf numFmtId="2" fontId="73" fillId="0" borderId="84" xfId="0" applyNumberFormat="1" applyFont="1" applyBorder="1" applyAlignment="1">
      <alignment horizontal="right" vertical="center"/>
    </xf>
    <xf numFmtId="2" fontId="75" fillId="0" borderId="84" xfId="0" applyNumberFormat="1" applyFont="1" applyBorder="1" applyAlignment="1">
      <alignment horizontal="right" vertical="center"/>
    </xf>
    <xf numFmtId="2" fontId="76" fillId="13" borderId="101" xfId="0" applyNumberFormat="1" applyFont="1" applyFill="1" applyBorder="1" applyAlignment="1">
      <alignment horizontal="right" vertical="center"/>
    </xf>
    <xf numFmtId="170" fontId="76" fillId="13" borderId="101" xfId="0" applyNumberFormat="1" applyFont="1" applyFill="1" applyBorder="1" applyAlignment="1">
      <alignment horizontal="right" vertical="center"/>
    </xf>
    <xf numFmtId="2" fontId="9" fillId="0" borderId="101" xfId="0" applyNumberFormat="1" applyFont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9" fillId="13" borderId="82" xfId="0" applyFont="1" applyFill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64" fontId="1" fillId="0" borderId="1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29" fillId="0" borderId="17" xfId="0" applyNumberFormat="1" applyFont="1" applyFill="1" applyBorder="1" applyAlignment="1">
      <alignment horizontal="right" vertical="center"/>
    </xf>
    <xf numFmtId="0" fontId="9" fillId="4" borderId="108" xfId="0" applyFont="1" applyFill="1" applyBorder="1" applyAlignment="1">
      <alignment horizontal="center"/>
    </xf>
    <xf numFmtId="3" fontId="12" fillId="0" borderId="29" xfId="0" applyNumberFormat="1" applyFont="1" applyFill="1" applyBorder="1" applyAlignment="1"/>
    <xf numFmtId="3" fontId="12" fillId="0" borderId="29" xfId="0" applyNumberFormat="1" applyFont="1" applyFill="1" applyBorder="1" applyAlignment="1">
      <alignment vertical="center"/>
    </xf>
    <xf numFmtId="0" fontId="9" fillId="0" borderId="9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0" fontId="10" fillId="0" borderId="7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2" fillId="16" borderId="77" xfId="0" applyFont="1" applyFill="1" applyBorder="1" applyAlignment="1">
      <alignment horizontal="right" vertical="center" wrapText="1"/>
    </xf>
    <xf numFmtId="0" fontId="72" fillId="16" borderId="84" xfId="0" applyFont="1" applyFill="1" applyBorder="1" applyAlignment="1">
      <alignment horizontal="right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70" fillId="0" borderId="66" xfId="3" applyFont="1" applyBorder="1" applyAlignment="1">
      <alignment horizontal="right" vertical="center"/>
    </xf>
    <xf numFmtId="0" fontId="67" fillId="0" borderId="67" xfId="3" applyFont="1" applyBorder="1" applyAlignment="1">
      <alignment horizontal="right" vertical="center"/>
    </xf>
    <xf numFmtId="0" fontId="64" fillId="23" borderId="49" xfId="3" applyFont="1" applyFill="1" applyBorder="1" applyAlignment="1">
      <alignment horizontal="center" vertical="center"/>
    </xf>
    <xf numFmtId="0" fontId="62" fillId="23" borderId="6" xfId="0" applyFont="1" applyFill="1" applyBorder="1" applyAlignment="1">
      <alignment horizontal="center" vertical="center" wrapText="1"/>
    </xf>
    <xf numFmtId="0" fontId="63" fillId="23" borderId="23" xfId="0" applyFont="1" applyFill="1" applyBorder="1" applyAlignment="1">
      <alignment horizontal="center" vertical="center"/>
    </xf>
    <xf numFmtId="0" fontId="62" fillId="23" borderId="1" xfId="0" applyFont="1" applyFill="1" applyBorder="1" applyAlignment="1">
      <alignment horizontal="center" vertical="center"/>
    </xf>
    <xf numFmtId="0" fontId="63" fillId="23" borderId="52" xfId="0" applyFont="1" applyFill="1" applyBorder="1" applyAlignment="1">
      <alignment horizontal="center" vertical="center"/>
    </xf>
    <xf numFmtId="0" fontId="65" fillId="0" borderId="0" xfId="3" applyFont="1" applyFill="1" applyBorder="1" applyAlignment="1">
      <alignment horizontal="left" vertical="center"/>
    </xf>
    <xf numFmtId="166" fontId="0" fillId="29" borderId="21" xfId="0" applyNumberFormat="1" applyFill="1" applyBorder="1"/>
    <xf numFmtId="164" fontId="0" fillId="29" borderId="21" xfId="0" applyNumberFormat="1" applyFill="1" applyBorder="1"/>
    <xf numFmtId="164" fontId="0" fillId="29" borderId="16" xfId="0" applyNumberFormat="1" applyFill="1" applyBorder="1"/>
    <xf numFmtId="164" fontId="8" fillId="29" borderId="21" xfId="0" applyNumberFormat="1" applyFont="1" applyFill="1" applyBorder="1"/>
    <xf numFmtId="166" fontId="8" fillId="29" borderId="42" xfId="0" applyNumberFormat="1" applyFont="1" applyFill="1" applyBorder="1"/>
    <xf numFmtId="14" fontId="0" fillId="0" borderId="0" xfId="0" applyNumberFormat="1"/>
    <xf numFmtId="168" fontId="8" fillId="28" borderId="21" xfId="0" applyNumberFormat="1" applyFont="1" applyFill="1" applyBorder="1"/>
    <xf numFmtId="167" fontId="8" fillId="28" borderId="21" xfId="0" applyNumberFormat="1" applyFont="1" applyFill="1" applyBorder="1"/>
    <xf numFmtId="168" fontId="3" fillId="0" borderId="13" xfId="1" applyNumberFormat="1" applyFont="1" applyFill="1" applyBorder="1"/>
    <xf numFmtId="168" fontId="3" fillId="0" borderId="14" xfId="1" applyNumberFormat="1" applyFont="1" applyFill="1" applyBorder="1"/>
    <xf numFmtId="168" fontId="2" fillId="0" borderId="0" xfId="0" applyNumberFormat="1" applyFont="1" applyFill="1"/>
    <xf numFmtId="165" fontId="10" fillId="25" borderId="0" xfId="5" applyNumberFormat="1" applyFont="1" applyFill="1"/>
    <xf numFmtId="0" fontId="46" fillId="30" borderId="0" xfId="0" quotePrefix="1" applyFont="1" applyFill="1"/>
    <xf numFmtId="0" fontId="60" fillId="30" borderId="0" xfId="0" applyFont="1" applyFill="1"/>
    <xf numFmtId="165" fontId="10" fillId="26" borderId="0" xfId="5" applyNumberFormat="1" applyFont="1" applyFill="1"/>
    <xf numFmtId="3" fontId="65" fillId="30" borderId="56" xfId="0" applyNumberFormat="1" applyFont="1" applyFill="1" applyBorder="1" applyAlignment="1">
      <alignment horizontal="right" vertical="center"/>
    </xf>
    <xf numFmtId="3" fontId="66" fillId="30" borderId="59" xfId="0" applyNumberFormat="1" applyFont="1" applyFill="1" applyBorder="1" applyAlignment="1">
      <alignment horizontal="right" vertical="center"/>
    </xf>
    <xf numFmtId="165" fontId="10" fillId="0" borderId="0" xfId="1" applyNumberFormat="1" applyFont="1" applyFill="1"/>
    <xf numFmtId="3" fontId="69" fillId="0" borderId="114" xfId="3" applyNumberFormat="1" applyFont="1" applyFill="1" applyBorder="1" applyAlignment="1">
      <alignment horizontal="right" vertical="center"/>
    </xf>
    <xf numFmtId="165" fontId="10" fillId="24" borderId="0" xfId="5" applyNumberFormat="1" applyFont="1" applyFill="1"/>
    <xf numFmtId="3" fontId="65" fillId="30" borderId="55" xfId="0" applyNumberFormat="1" applyFont="1" applyFill="1" applyBorder="1" applyAlignment="1">
      <alignment horizontal="right" vertical="center"/>
    </xf>
    <xf numFmtId="3" fontId="66" fillId="30" borderId="57" xfId="0" applyNumberFormat="1" applyFont="1" applyFill="1" applyBorder="1" applyAlignment="1">
      <alignment horizontal="right" vertical="center"/>
    </xf>
    <xf numFmtId="165" fontId="10" fillId="0" borderId="0" xfId="5" applyNumberFormat="1" applyFont="1"/>
    <xf numFmtId="165" fontId="10" fillId="31" borderId="0" xfId="1" applyNumberFormat="1" applyFont="1" applyFill="1"/>
    <xf numFmtId="3" fontId="66" fillId="30" borderId="64" xfId="0" applyNumberFormat="1" applyFont="1" applyFill="1" applyBorder="1" applyAlignment="1">
      <alignment horizontal="right" vertical="center"/>
    </xf>
    <xf numFmtId="3" fontId="66" fillId="30" borderId="65" xfId="0" applyNumberFormat="1" applyFont="1" applyFill="1" applyBorder="1" applyAlignment="1">
      <alignment horizontal="right" vertical="center"/>
    </xf>
    <xf numFmtId="0" fontId="70" fillId="0" borderId="109" xfId="3" applyFont="1" applyBorder="1" applyAlignment="1">
      <alignment horizontal="right" vertical="center"/>
    </xf>
    <xf numFmtId="0" fontId="65" fillId="0" borderId="110" xfId="3" applyFont="1" applyBorder="1" applyAlignment="1">
      <alignment horizontal="left" vertical="center"/>
    </xf>
    <xf numFmtId="3" fontId="71" fillId="0" borderId="110" xfId="3" applyNumberFormat="1" applyFont="1" applyFill="1" applyBorder="1" applyAlignment="1">
      <alignment horizontal="right" vertical="center"/>
    </xf>
    <xf numFmtId="3" fontId="71" fillId="0" borderId="115" xfId="3" applyNumberFormat="1" applyFont="1" applyFill="1" applyBorder="1" applyAlignment="1">
      <alignment horizontal="right" vertical="center"/>
    </xf>
    <xf numFmtId="3" fontId="71" fillId="0" borderId="0" xfId="3" applyNumberFormat="1" applyFont="1" applyFill="1" applyBorder="1" applyAlignment="1">
      <alignment horizontal="right" vertical="center"/>
    </xf>
    <xf numFmtId="3" fontId="71" fillId="0" borderId="111" xfId="3" applyNumberFormat="1" applyFont="1" applyFill="1" applyBorder="1" applyAlignment="1">
      <alignment horizontal="right" vertical="center"/>
    </xf>
    <xf numFmtId="0" fontId="70" fillId="0" borderId="112" xfId="3" applyFont="1" applyBorder="1" applyAlignment="1">
      <alignment horizontal="right" vertical="center"/>
    </xf>
    <xf numFmtId="164" fontId="65" fillId="0" borderId="113" xfId="3" applyNumberFormat="1" applyFont="1" applyBorder="1" applyAlignment="1">
      <alignment horizontal="left" vertical="center"/>
    </xf>
    <xf numFmtId="3" fontId="71" fillId="0" borderId="113" xfId="3" applyNumberFormat="1" applyFont="1" applyFill="1" applyBorder="1" applyAlignment="1">
      <alignment horizontal="right" vertical="center"/>
    </xf>
    <xf numFmtId="3" fontId="71" fillId="0" borderId="116" xfId="3" applyNumberFormat="1" applyFont="1" applyFill="1" applyBorder="1" applyAlignment="1">
      <alignment horizontal="right" vertical="center"/>
    </xf>
    <xf numFmtId="3" fontId="71" fillId="0" borderId="117" xfId="3" applyNumberFormat="1" applyFont="1" applyFill="1" applyBorder="1" applyAlignment="1">
      <alignment horizontal="right" vertical="center"/>
    </xf>
    <xf numFmtId="170" fontId="72" fillId="21" borderId="115" xfId="0" applyNumberFormat="1" applyFont="1" applyFill="1" applyBorder="1" applyAlignment="1">
      <alignment horizontal="right" vertical="center" wrapText="1"/>
    </xf>
    <xf numFmtId="172" fontId="72" fillId="21" borderId="115" xfId="0" applyNumberFormat="1" applyFont="1" applyFill="1" applyBorder="1" applyAlignment="1">
      <alignment horizontal="right" vertical="center" wrapText="1"/>
    </xf>
    <xf numFmtId="0" fontId="65" fillId="0" borderId="115" xfId="3" applyFont="1" applyBorder="1" applyAlignment="1">
      <alignment horizontal="left" vertical="center"/>
    </xf>
    <xf numFmtId="3" fontId="71" fillId="21" borderId="115" xfId="3" applyNumberFormat="1" applyFont="1" applyFill="1" applyBorder="1" applyAlignment="1">
      <alignment horizontal="right" vertical="center"/>
    </xf>
    <xf numFmtId="170" fontId="75" fillId="21" borderId="119" xfId="0" applyNumberFormat="1" applyFont="1" applyFill="1" applyBorder="1" applyAlignment="1">
      <alignment horizontal="right" vertical="center"/>
    </xf>
    <xf numFmtId="170" fontId="75" fillId="21" borderId="120" xfId="0" applyNumberFormat="1" applyFont="1" applyFill="1" applyBorder="1" applyAlignment="1">
      <alignment horizontal="right" vertical="center"/>
    </xf>
    <xf numFmtId="170" fontId="72" fillId="21" borderId="116" xfId="0" applyNumberFormat="1" applyFont="1" applyFill="1" applyBorder="1" applyAlignment="1">
      <alignment horizontal="right" vertical="center" wrapText="1"/>
    </xf>
    <xf numFmtId="172" fontId="72" fillId="21" borderId="116" xfId="0" applyNumberFormat="1" applyFont="1" applyFill="1" applyBorder="1" applyAlignment="1">
      <alignment horizontal="right" vertical="center" wrapText="1"/>
    </xf>
    <xf numFmtId="164" fontId="65" fillId="0" borderId="116" xfId="3" applyNumberFormat="1" applyFont="1" applyBorder="1" applyAlignment="1">
      <alignment horizontal="left" vertical="center"/>
    </xf>
    <xf numFmtId="3" fontId="71" fillId="21" borderId="116" xfId="3" applyNumberFormat="1" applyFont="1" applyFill="1" applyBorder="1" applyAlignment="1">
      <alignment horizontal="right" vertical="center"/>
    </xf>
    <xf numFmtId="170" fontId="75" fillId="21" borderId="121" xfId="0" applyNumberFormat="1" applyFont="1" applyFill="1" applyBorder="1" applyAlignment="1">
      <alignment horizontal="right" vertical="center"/>
    </xf>
    <xf numFmtId="170" fontId="75" fillId="21" borderId="122" xfId="0" applyNumberFormat="1" applyFont="1" applyFill="1" applyBorder="1" applyAlignment="1">
      <alignment horizontal="right" vertical="center"/>
    </xf>
    <xf numFmtId="2" fontId="10" fillId="0" borderId="0" xfId="0" applyNumberFormat="1" applyFont="1"/>
    <xf numFmtId="0" fontId="70" fillId="0" borderId="0" xfId="3" applyFont="1" applyBorder="1" applyAlignment="1">
      <alignment horizontal="right" vertical="center"/>
    </xf>
    <xf numFmtId="0" fontId="67" fillId="0" borderId="0" xfId="3" applyFont="1" applyBorder="1" applyAlignment="1">
      <alignment horizontal="right" vertical="center"/>
    </xf>
    <xf numFmtId="3" fontId="73" fillId="21" borderId="89" xfId="0" applyNumberFormat="1" applyFont="1" applyFill="1" applyBorder="1" applyAlignment="1">
      <alignment horizontal="right" vertical="center"/>
    </xf>
    <xf numFmtId="170" fontId="73" fillId="21" borderId="89" xfId="0" applyNumberFormat="1" applyFont="1" applyFill="1" applyBorder="1" applyAlignment="1">
      <alignment horizontal="right" vertical="center"/>
    </xf>
    <xf numFmtId="170" fontId="73" fillId="30" borderId="59" xfId="0" applyNumberFormat="1" applyFont="1" applyFill="1" applyBorder="1" applyAlignment="1">
      <alignment horizontal="right" vertical="center" wrapText="1"/>
    </xf>
    <xf numFmtId="170" fontId="73" fillId="30" borderId="86" xfId="0" applyNumberFormat="1" applyFont="1" applyFill="1" applyBorder="1" applyAlignment="1">
      <alignment horizontal="right" vertical="center" wrapText="1"/>
    </xf>
    <xf numFmtId="170" fontId="74" fillId="21" borderId="89" xfId="0" applyNumberFormat="1" applyFont="1" applyFill="1" applyBorder="1" applyAlignment="1">
      <alignment horizontal="right" vertical="center" wrapText="1"/>
    </xf>
    <xf numFmtId="172" fontId="74" fillId="21" borderId="89" xfId="0" applyNumberFormat="1" applyFont="1" applyFill="1" applyBorder="1" applyAlignment="1">
      <alignment horizontal="right" vertical="center" wrapText="1"/>
    </xf>
    <xf numFmtId="3" fontId="75" fillId="21" borderId="93" xfId="0" applyNumberFormat="1" applyFont="1" applyFill="1" applyBorder="1" applyAlignment="1">
      <alignment horizontal="right" vertical="center"/>
    </xf>
    <xf numFmtId="170" fontId="75" fillId="21" borderId="89" xfId="0" applyNumberFormat="1" applyFont="1" applyFill="1" applyBorder="1" applyAlignment="1">
      <alignment horizontal="right" vertical="center"/>
    </xf>
    <xf numFmtId="171" fontId="75" fillId="21" borderId="93" xfId="4" applyNumberFormat="1" applyFont="1" applyFill="1" applyBorder="1" applyAlignment="1">
      <alignment horizontal="right" vertical="center"/>
    </xf>
    <xf numFmtId="170" fontId="76" fillId="21" borderId="94" xfId="0" applyNumberFormat="1" applyFont="1" applyFill="1" applyBorder="1" applyAlignment="1">
      <alignment horizontal="right" vertical="center" wrapText="1"/>
    </xf>
    <xf numFmtId="170" fontId="76" fillId="21" borderId="95" xfId="0" applyNumberFormat="1" applyFont="1" applyFill="1" applyBorder="1" applyAlignment="1">
      <alignment horizontal="right" vertical="center" wrapText="1"/>
    </xf>
    <xf numFmtId="170" fontId="76" fillId="21" borderId="96" xfId="0" applyNumberFormat="1" applyFont="1" applyFill="1" applyBorder="1" applyAlignment="1">
      <alignment horizontal="right" vertical="center" wrapText="1"/>
    </xf>
    <xf numFmtId="170" fontId="72" fillId="21" borderId="97" xfId="0" applyNumberFormat="1" applyFont="1" applyFill="1" applyBorder="1" applyAlignment="1">
      <alignment horizontal="right" vertical="center" wrapText="1"/>
    </xf>
    <xf numFmtId="172" fontId="72" fillId="21" borderId="89" xfId="0" applyNumberFormat="1" applyFont="1" applyFill="1" applyBorder="1" applyAlignment="1">
      <alignment horizontal="right" vertical="center" wrapText="1"/>
    </xf>
    <xf numFmtId="3" fontId="73" fillId="21" borderId="84" xfId="0" applyNumberFormat="1" applyFont="1" applyFill="1" applyBorder="1" applyAlignment="1">
      <alignment horizontal="right" vertical="center"/>
    </xf>
    <xf numFmtId="3" fontId="75" fillId="21" borderId="84" xfId="0" applyNumberFormat="1" applyFont="1" applyFill="1" applyBorder="1" applyAlignment="1">
      <alignment horizontal="right" vertical="center"/>
    </xf>
    <xf numFmtId="171" fontId="75" fillId="21" borderId="84" xfId="4" applyNumberFormat="1" applyFont="1" applyFill="1" applyBorder="1" applyAlignment="1">
      <alignment horizontal="right" vertical="center"/>
    </xf>
    <xf numFmtId="0" fontId="10" fillId="0" borderId="123" xfId="0" applyFont="1" applyBorder="1" applyAlignment="1">
      <alignment horizontal="left" vertical="center"/>
    </xf>
    <xf numFmtId="3" fontId="73" fillId="21" borderId="124" xfId="4" applyNumberFormat="1" applyFont="1" applyFill="1" applyBorder="1" applyAlignment="1">
      <alignment horizontal="right" vertical="center"/>
    </xf>
    <xf numFmtId="170" fontId="73" fillId="21" borderId="125" xfId="0" applyNumberFormat="1" applyFont="1" applyFill="1" applyBorder="1" applyAlignment="1">
      <alignment horizontal="right" vertical="center"/>
    </xf>
    <xf numFmtId="170" fontId="73" fillId="21" borderId="126" xfId="0" applyNumberFormat="1" applyFont="1" applyFill="1" applyBorder="1" applyAlignment="1">
      <alignment horizontal="right" vertical="center" wrapText="1"/>
    </xf>
    <xf numFmtId="170" fontId="73" fillId="21" borderId="124" xfId="0" applyNumberFormat="1" applyFont="1" applyFill="1" applyBorder="1" applyAlignment="1">
      <alignment horizontal="right" vertical="center" wrapText="1"/>
    </xf>
    <xf numFmtId="170" fontId="74" fillId="21" borderId="125" xfId="0" applyNumberFormat="1" applyFont="1" applyFill="1" applyBorder="1" applyAlignment="1">
      <alignment horizontal="right" vertical="center" wrapText="1"/>
    </xf>
    <xf numFmtId="172" fontId="74" fillId="21" borderId="127" xfId="0" applyNumberFormat="1" applyFont="1" applyFill="1" applyBorder="1" applyAlignment="1">
      <alignment horizontal="right" vertical="center" wrapText="1"/>
    </xf>
    <xf numFmtId="3" fontId="73" fillId="21" borderId="128" xfId="0" applyNumberFormat="1" applyFont="1" applyFill="1" applyBorder="1" applyAlignment="1">
      <alignment horizontal="right" vertical="center"/>
    </xf>
    <xf numFmtId="170" fontId="73" fillId="21" borderId="128" xfId="0" applyNumberFormat="1" applyFont="1" applyFill="1" applyBorder="1" applyAlignment="1">
      <alignment horizontal="right" vertical="center"/>
    </xf>
    <xf numFmtId="170" fontId="73" fillId="21" borderId="129" xfId="0" applyNumberFormat="1" applyFont="1" applyFill="1" applyBorder="1" applyAlignment="1">
      <alignment horizontal="right" vertical="center" wrapText="1"/>
    </xf>
    <xf numFmtId="165" fontId="73" fillId="21" borderId="130" xfId="5" applyNumberFormat="1" applyFont="1" applyFill="1" applyBorder="1" applyAlignment="1">
      <alignment horizontal="right" vertical="center" wrapText="1"/>
    </xf>
    <xf numFmtId="170" fontId="74" fillId="21" borderId="128" xfId="0" applyNumberFormat="1" applyFont="1" applyFill="1" applyBorder="1" applyAlignment="1">
      <alignment horizontal="right" vertical="center" wrapText="1"/>
    </xf>
    <xf numFmtId="172" fontId="74" fillId="21" borderId="131" xfId="0" applyNumberFormat="1" applyFont="1" applyFill="1" applyBorder="1" applyAlignment="1">
      <alignment horizontal="right" vertical="center" wrapText="1"/>
    </xf>
    <xf numFmtId="3" fontId="12" fillId="0" borderId="38" xfId="0" applyNumberFormat="1" applyFont="1" applyFill="1" applyBorder="1" applyAlignment="1">
      <alignment horizontal="right" vertical="center"/>
    </xf>
    <xf numFmtId="0" fontId="12" fillId="22" borderId="28" xfId="0" applyFont="1" applyFill="1" applyBorder="1"/>
    <xf numFmtId="3" fontId="12" fillId="22" borderId="29" xfId="0" applyNumberFormat="1" applyFont="1" applyFill="1" applyBorder="1" applyAlignment="1"/>
    <xf numFmtId="0" fontId="9" fillId="32" borderId="28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 wrapText="1"/>
    </xf>
    <xf numFmtId="0" fontId="9" fillId="32" borderId="29" xfId="0" applyFont="1" applyFill="1" applyBorder="1" applyAlignment="1">
      <alignment horizontal="center" wrapText="1"/>
    </xf>
    <xf numFmtId="168" fontId="12" fillId="20" borderId="29" xfId="0" applyNumberFormat="1" applyFont="1" applyFill="1" applyBorder="1" applyAlignment="1">
      <alignment horizontal="center" wrapText="1"/>
    </xf>
    <xf numFmtId="168" fontId="28" fillId="20" borderId="29" xfId="0" applyNumberFormat="1" applyFont="1" applyFill="1" applyBorder="1" applyAlignment="1">
      <alignment horizontal="center" wrapText="1"/>
    </xf>
    <xf numFmtId="168" fontId="12" fillId="20" borderId="29" xfId="0" applyNumberFormat="1" applyFont="1" applyFill="1" applyBorder="1" applyAlignment="1">
      <alignment horizontal="center" vertical="center" wrapText="1"/>
    </xf>
    <xf numFmtId="3" fontId="12" fillId="20" borderId="29" xfId="0" applyNumberFormat="1" applyFont="1" applyFill="1" applyBorder="1" applyAlignment="1"/>
    <xf numFmtId="3" fontId="12" fillId="20" borderId="39" xfId="0" applyNumberFormat="1" applyFont="1" applyFill="1" applyBorder="1" applyAlignment="1">
      <alignment horizontal="right" vertical="center"/>
    </xf>
    <xf numFmtId="3" fontId="12" fillId="20" borderId="29" xfId="0" applyNumberFormat="1" applyFont="1" applyFill="1" applyBorder="1" applyAlignment="1">
      <alignment vertical="center"/>
    </xf>
    <xf numFmtId="164" fontId="8" fillId="33" borderId="21" xfId="0" applyNumberFormat="1" applyFont="1" applyFill="1" applyBorder="1"/>
    <xf numFmtId="168" fontId="8" fillId="33" borderId="21" xfId="0" applyNumberFormat="1" applyFont="1" applyFill="1" applyBorder="1"/>
    <xf numFmtId="168" fontId="2" fillId="33" borderId="0" xfId="0" applyNumberFormat="1" applyFont="1" applyFill="1"/>
    <xf numFmtId="0" fontId="82" fillId="0" borderId="9" xfId="0" applyFont="1" applyBorder="1" applyAlignment="1">
      <alignment vertical="center"/>
    </xf>
    <xf numFmtId="164" fontId="82" fillId="0" borderId="17" xfId="0" applyNumberFormat="1" applyFont="1" applyFill="1" applyBorder="1" applyAlignment="1">
      <alignment horizontal="right" vertical="center"/>
    </xf>
    <xf numFmtId="0" fontId="51" fillId="0" borderId="32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164" fontId="82" fillId="0" borderId="132" xfId="0" applyNumberFormat="1" applyFont="1" applyFill="1" applyBorder="1" applyAlignment="1">
      <alignment horizontal="right" vertical="center"/>
    </xf>
    <xf numFmtId="164" fontId="82" fillId="0" borderId="133" xfId="0" applyNumberFormat="1" applyFont="1" applyFill="1" applyBorder="1" applyAlignment="1">
      <alignment horizontal="right" vertical="center"/>
    </xf>
    <xf numFmtId="164" fontId="82" fillId="0" borderId="0" xfId="0" applyNumberFormat="1" applyFont="1" applyFill="1" applyBorder="1" applyAlignment="1">
      <alignment horizontal="right" vertical="center"/>
    </xf>
    <xf numFmtId="165" fontId="82" fillId="0" borderId="133" xfId="1" applyNumberFormat="1" applyFont="1" applyFill="1" applyBorder="1" applyAlignment="1">
      <alignment horizontal="right" vertical="center"/>
    </xf>
    <xf numFmtId="0" fontId="49" fillId="0" borderId="0" xfId="0" applyFont="1"/>
    <xf numFmtId="165" fontId="34" fillId="0" borderId="0" xfId="1" applyNumberFormat="1" applyFont="1"/>
    <xf numFmtId="0" fontId="4" fillId="0" borderId="21" xfId="0" applyFont="1" applyFill="1" applyBorder="1" applyAlignment="1">
      <alignment horizontal="left" indent="2"/>
    </xf>
    <xf numFmtId="168" fontId="12" fillId="0" borderId="21" xfId="0" applyNumberFormat="1" applyFont="1" applyFill="1" applyBorder="1"/>
    <xf numFmtId="167" fontId="0" fillId="0" borderId="0" xfId="0" applyNumberFormat="1" applyFill="1"/>
    <xf numFmtId="168" fontId="8" fillId="0" borderId="21" xfId="0" applyNumberFormat="1" applyFont="1" applyFill="1" applyBorder="1"/>
    <xf numFmtId="0" fontId="79" fillId="23" borderId="0" xfId="0" applyFont="1" applyFill="1"/>
    <xf numFmtId="0" fontId="1" fillId="13" borderId="0" xfId="0" applyFont="1" applyFill="1"/>
    <xf numFmtId="167" fontId="0" fillId="13" borderId="0" xfId="0" applyNumberFormat="1" applyFill="1"/>
    <xf numFmtId="165" fontId="0" fillId="13" borderId="0" xfId="1" applyNumberFormat="1" applyFont="1" applyFill="1"/>
    <xf numFmtId="165" fontId="34" fillId="13" borderId="0" xfId="1" applyNumberFormat="1" applyFont="1" applyFill="1"/>
    <xf numFmtId="167" fontId="34" fillId="13" borderId="0" xfId="0" applyNumberFormat="1" applyFont="1" applyFill="1"/>
    <xf numFmtId="165" fontId="34" fillId="13" borderId="0" xfId="0" applyNumberFormat="1" applyFont="1" applyFill="1"/>
    <xf numFmtId="0" fontId="0" fillId="13" borderId="0" xfId="0" applyFill="1"/>
    <xf numFmtId="0" fontId="1" fillId="13" borderId="0" xfId="0" applyFont="1" applyFill="1" applyAlignment="1">
      <alignment horizontal="center"/>
    </xf>
    <xf numFmtId="167" fontId="34" fillId="0" borderId="21" xfId="0" applyNumberFormat="1" applyFont="1" applyBorder="1"/>
    <xf numFmtId="0" fontId="50" fillId="34" borderId="0" xfId="0" applyFont="1" applyFill="1"/>
    <xf numFmtId="167" fontId="50" fillId="34" borderId="0" xfId="0" applyNumberFormat="1" applyFont="1" applyFill="1"/>
    <xf numFmtId="165" fontId="85" fillId="34" borderId="0" xfId="1" applyNumberFormat="1" applyFont="1" applyFill="1"/>
    <xf numFmtId="165" fontId="50" fillId="34" borderId="0" xfId="0" applyNumberFormat="1" applyFont="1" applyFill="1"/>
    <xf numFmtId="173" fontId="0" fillId="13" borderId="0" xfId="4" applyNumberFormat="1" applyFont="1" applyFill="1" applyAlignment="1">
      <alignment horizontal="right"/>
    </xf>
    <xf numFmtId="0" fontId="79" fillId="35" borderId="0" xfId="0" applyFont="1" applyFill="1"/>
    <xf numFmtId="0" fontId="84" fillId="35" borderId="48" xfId="0" applyFont="1" applyFill="1" applyBorder="1" applyAlignment="1">
      <alignment wrapText="1"/>
    </xf>
    <xf numFmtId="0" fontId="84" fillId="35" borderId="111" xfId="0" applyFont="1" applyFill="1" applyBorder="1" applyAlignment="1">
      <alignment wrapText="1"/>
    </xf>
    <xf numFmtId="0" fontId="84" fillId="35" borderId="109" xfId="0" applyFont="1" applyFill="1" applyBorder="1" applyAlignment="1">
      <alignment wrapText="1"/>
    </xf>
    <xf numFmtId="0" fontId="84" fillId="35" borderId="110" xfId="0" applyFont="1" applyFill="1" applyBorder="1" applyAlignment="1">
      <alignment wrapText="1"/>
    </xf>
    <xf numFmtId="164" fontId="86" fillId="0" borderId="15" xfId="0" applyNumberFormat="1" applyFont="1" applyFill="1" applyBorder="1" applyAlignment="1">
      <alignment horizontal="right" vertical="center"/>
    </xf>
    <xf numFmtId="164" fontId="86" fillId="33" borderId="15" xfId="0" applyNumberFormat="1" applyFont="1" applyFill="1" applyBorder="1" applyAlignment="1">
      <alignment horizontal="right" vertical="center"/>
    </xf>
    <xf numFmtId="164" fontId="87" fillId="2" borderId="20" xfId="0" applyNumberFormat="1" applyFont="1" applyFill="1" applyBorder="1" applyAlignment="1">
      <alignment horizontal="right" vertical="center"/>
    </xf>
    <xf numFmtId="165" fontId="79" fillId="35" borderId="0" xfId="1" applyNumberFormat="1" applyFont="1" applyFill="1"/>
    <xf numFmtId="165" fontId="80" fillId="35" borderId="0" xfId="1" applyNumberFormat="1" applyFont="1" applyFill="1"/>
    <xf numFmtId="0" fontId="81" fillId="35" borderId="0" xfId="0" applyFont="1" applyFill="1"/>
    <xf numFmtId="165" fontId="79" fillId="35" borderId="0" xfId="0" applyNumberFormat="1" applyFont="1" applyFill="1"/>
    <xf numFmtId="164" fontId="50" fillId="35" borderId="21" xfId="0" applyNumberFormat="1" applyFont="1" applyFill="1" applyBorder="1"/>
    <xf numFmtId="164" fontId="88" fillId="35" borderId="21" xfId="0" applyNumberFormat="1" applyFont="1" applyFill="1" applyBorder="1"/>
    <xf numFmtId="168" fontId="50" fillId="35" borderId="21" xfId="0" applyNumberFormat="1" applyFont="1" applyFill="1" applyBorder="1"/>
    <xf numFmtId="168" fontId="88" fillId="35" borderId="21" xfId="0" applyNumberFormat="1" applyFont="1" applyFill="1" applyBorder="1"/>
    <xf numFmtId="0" fontId="50" fillId="35" borderId="21" xfId="0" applyFont="1" applyFill="1" applyBorder="1"/>
    <xf numFmtId="0" fontId="88" fillId="35" borderId="21" xfId="0" applyFont="1" applyFill="1" applyBorder="1" applyAlignment="1">
      <alignment horizontal="left" indent="2"/>
    </xf>
    <xf numFmtId="0" fontId="2" fillId="3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9" fillId="35" borderId="21" xfId="0" applyFont="1" applyFill="1" applyBorder="1"/>
    <xf numFmtId="167" fontId="79" fillId="35" borderId="4" xfId="0" applyNumberFormat="1" applyFont="1" applyFill="1" applyBorder="1"/>
    <xf numFmtId="167" fontId="0" fillId="0" borderId="4" xfId="0" applyNumberFormat="1" applyBorder="1"/>
    <xf numFmtId="173" fontId="79" fillId="35" borderId="134" xfId="4" applyNumberFormat="1" applyFont="1" applyFill="1" applyBorder="1"/>
    <xf numFmtId="173" fontId="79" fillId="35" borderId="135" xfId="4" applyNumberFormat="1" applyFont="1" applyFill="1" applyBorder="1"/>
    <xf numFmtId="173" fontId="79" fillId="35" borderId="136" xfId="4" applyNumberFormat="1" applyFont="1" applyFill="1" applyBorder="1"/>
    <xf numFmtId="173" fontId="79" fillId="35" borderId="137" xfId="4" applyNumberFormat="1" applyFont="1" applyFill="1" applyBorder="1"/>
    <xf numFmtId="173" fontId="79" fillId="35" borderId="21" xfId="4" applyNumberFormat="1" applyFont="1" applyFill="1" applyBorder="1"/>
    <xf numFmtId="173" fontId="79" fillId="35" borderId="138" xfId="4" applyNumberFormat="1" applyFont="1" applyFill="1" applyBorder="1"/>
    <xf numFmtId="173" fontId="79" fillId="35" borderId="139" xfId="4" applyNumberFormat="1" applyFont="1" applyFill="1" applyBorder="1"/>
    <xf numFmtId="173" fontId="79" fillId="35" borderId="140" xfId="4" applyNumberFormat="1" applyFont="1" applyFill="1" applyBorder="1"/>
    <xf numFmtId="173" fontId="79" fillId="35" borderId="141" xfId="4" applyNumberFormat="1" applyFont="1" applyFill="1" applyBorder="1"/>
    <xf numFmtId="164" fontId="89" fillId="0" borderId="15" xfId="0" applyNumberFormat="1" applyFont="1" applyFill="1" applyBorder="1" applyAlignment="1">
      <alignment horizontal="right" vertical="center"/>
    </xf>
    <xf numFmtId="164" fontId="90" fillId="2" borderId="20" xfId="0" applyNumberFormat="1" applyFont="1" applyFill="1" applyBorder="1" applyAlignment="1">
      <alignment horizontal="right" vertical="center"/>
    </xf>
    <xf numFmtId="164" fontId="90" fillId="33" borderId="20" xfId="0" applyNumberFormat="1" applyFont="1" applyFill="1" applyBorder="1" applyAlignment="1">
      <alignment horizontal="right" vertical="center"/>
    </xf>
    <xf numFmtId="0" fontId="2" fillId="0" borderId="26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8" fillId="0" borderId="142" xfId="0" applyFont="1" applyFill="1" applyBorder="1"/>
    <xf numFmtId="164" fontId="0" fillId="0" borderId="143" xfId="0" applyNumberFormat="1" applyFill="1" applyBorder="1"/>
    <xf numFmtId="164" fontId="0" fillId="0" borderId="144" xfId="0" applyNumberFormat="1" applyFill="1" applyBorder="1"/>
    <xf numFmtId="0" fontId="15" fillId="0" borderId="142" xfId="0" applyFont="1" applyBorder="1"/>
    <xf numFmtId="164" fontId="15" fillId="0" borderId="143" xfId="0" applyNumberFormat="1" applyFont="1" applyBorder="1"/>
    <xf numFmtId="164" fontId="15" fillId="0" borderId="144" xfId="0" applyNumberFormat="1" applyFont="1" applyBorder="1"/>
    <xf numFmtId="170" fontId="76" fillId="36" borderId="89" xfId="0" applyNumberFormat="1" applyFont="1" applyFill="1" applyBorder="1" applyAlignment="1">
      <alignment horizontal="right" vertical="center"/>
    </xf>
    <xf numFmtId="171" fontId="9" fillId="36" borderId="89" xfId="4" applyNumberFormat="1" applyFont="1" applyFill="1" applyBorder="1" applyAlignment="1">
      <alignment horizontal="right" vertical="center"/>
    </xf>
    <xf numFmtId="170" fontId="76" fillId="36" borderId="59" xfId="0" applyNumberFormat="1" applyFont="1" applyFill="1" applyBorder="1" applyAlignment="1">
      <alignment horizontal="right" vertical="center" wrapText="1"/>
    </xf>
    <xf numFmtId="170" fontId="76" fillId="36" borderId="86" xfId="0" applyNumberFormat="1" applyFont="1" applyFill="1" applyBorder="1" applyAlignment="1">
      <alignment horizontal="right" vertical="center" wrapText="1"/>
    </xf>
    <xf numFmtId="170" fontId="72" fillId="36" borderId="89" xfId="0" applyNumberFormat="1" applyFont="1" applyFill="1" applyBorder="1" applyAlignment="1">
      <alignment horizontal="right" vertical="center" wrapText="1"/>
    </xf>
    <xf numFmtId="3" fontId="9" fillId="36" borderId="89" xfId="0" applyNumberFormat="1" applyFont="1" applyFill="1" applyBorder="1" applyAlignment="1">
      <alignment horizontal="right" vertical="center"/>
    </xf>
    <xf numFmtId="172" fontId="72" fillId="36" borderId="89" xfId="0" applyNumberFormat="1" applyFont="1" applyFill="1" applyBorder="1" applyAlignment="1">
      <alignment horizontal="right" vertical="center" wrapText="1"/>
    </xf>
    <xf numFmtId="167" fontId="0" fillId="0" borderId="21" xfId="0" applyNumberFormat="1" applyFill="1" applyBorder="1"/>
    <xf numFmtId="167" fontId="79" fillId="35" borderId="21" xfId="0" applyNumberFormat="1" applyFont="1" applyFill="1" applyBorder="1"/>
    <xf numFmtId="0" fontId="9" fillId="32" borderId="27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/>
    </xf>
    <xf numFmtId="0" fontId="9" fillId="32" borderId="48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/>
    </xf>
    <xf numFmtId="0" fontId="0" fillId="6" borderId="21" xfId="0" applyFill="1" applyBorder="1" applyAlignment="1"/>
    <xf numFmtId="0" fontId="36" fillId="6" borderId="21" xfId="0" applyFont="1" applyFill="1" applyBorder="1" applyAlignment="1">
      <alignment horizontal="center"/>
    </xf>
    <xf numFmtId="0" fontId="34" fillId="6" borderId="21" xfId="0" applyFont="1" applyFill="1" applyBorder="1" applyAlignment="1">
      <alignment horizontal="center"/>
    </xf>
    <xf numFmtId="3" fontId="8" fillId="8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9" fillId="15" borderId="44" xfId="0" applyFont="1" applyFill="1" applyBorder="1" applyAlignment="1">
      <alignment horizontal="right" vertical="center" wrapText="1"/>
    </xf>
    <xf numFmtId="0" fontId="9" fillId="15" borderId="45" xfId="0" applyFont="1" applyFill="1" applyBorder="1" applyAlignment="1">
      <alignment horizontal="right" vertical="center" wrapText="1"/>
    </xf>
    <xf numFmtId="0" fontId="9" fillId="15" borderId="47" xfId="0" applyFont="1" applyFill="1" applyBorder="1" applyAlignment="1">
      <alignment horizontal="right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right" vertical="center" wrapText="1"/>
    </xf>
    <xf numFmtId="0" fontId="9" fillId="14" borderId="45" xfId="0" applyFont="1" applyFill="1" applyBorder="1" applyAlignment="1">
      <alignment horizontal="right" vertical="center" wrapText="1"/>
    </xf>
    <xf numFmtId="0" fontId="9" fillId="14" borderId="47" xfId="0" applyFont="1" applyFill="1" applyBorder="1" applyAlignment="1">
      <alignment horizontal="right" vertic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 wrapText="1"/>
    </xf>
    <xf numFmtId="0" fontId="64" fillId="23" borderId="50" xfId="3" applyFont="1" applyFill="1" applyBorder="1" applyAlignment="1">
      <alignment horizontal="center" vertical="center"/>
    </xf>
    <xf numFmtId="0" fontId="64" fillId="23" borderId="51" xfId="3" applyFont="1" applyFill="1" applyBorder="1" applyAlignment="1">
      <alignment horizontal="center" vertical="center"/>
    </xf>
    <xf numFmtId="0" fontId="64" fillId="23" borderId="49" xfId="3" applyFont="1" applyFill="1" applyBorder="1" applyAlignment="1">
      <alignment horizontal="center" vertical="center"/>
    </xf>
    <xf numFmtId="0" fontId="65" fillId="0" borderId="54" xfId="3" applyFont="1" applyBorder="1" applyAlignment="1">
      <alignment horizontal="left" vertical="center"/>
    </xf>
    <xf numFmtId="0" fontId="67" fillId="0" borderId="58" xfId="3" applyFont="1" applyBorder="1" applyAlignment="1">
      <alignment horizontal="left" vertical="center"/>
    </xf>
    <xf numFmtId="0" fontId="67" fillId="0" borderId="60" xfId="3" applyFont="1" applyBorder="1" applyAlignment="1">
      <alignment horizontal="left" vertical="center"/>
    </xf>
    <xf numFmtId="0" fontId="65" fillId="0" borderId="0" xfId="3" applyFont="1" applyFill="1" applyBorder="1" applyAlignment="1">
      <alignment horizontal="left" vertical="center"/>
    </xf>
    <xf numFmtId="0" fontId="67" fillId="0" borderId="0" xfId="3" applyFont="1" applyFill="1" applyBorder="1" applyAlignment="1">
      <alignment horizontal="left" vertical="center"/>
    </xf>
    <xf numFmtId="0" fontId="62" fillId="23" borderId="6" xfId="0" applyFont="1" applyFill="1" applyBorder="1" applyAlignment="1">
      <alignment horizontal="center" vertical="center" wrapText="1"/>
    </xf>
    <xf numFmtId="0" fontId="63" fillId="23" borderId="23" xfId="0" applyFont="1" applyFill="1" applyBorder="1" applyAlignment="1">
      <alignment horizontal="center" vertical="center"/>
    </xf>
    <xf numFmtId="0" fontId="62" fillId="23" borderId="1" xfId="0" applyFont="1" applyFill="1" applyBorder="1" applyAlignment="1">
      <alignment horizontal="center" vertical="center"/>
    </xf>
    <xf numFmtId="0" fontId="63" fillId="23" borderId="52" xfId="0" applyFont="1" applyFill="1" applyBorder="1" applyAlignment="1">
      <alignment horizontal="center" vertical="center"/>
    </xf>
    <xf numFmtId="0" fontId="10" fillId="13" borderId="73" xfId="0" applyFont="1" applyFill="1" applyBorder="1" applyAlignment="1">
      <alignment horizontal="center" vertical="center"/>
    </xf>
    <xf numFmtId="0" fontId="10" fillId="13" borderId="74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5" fillId="0" borderId="58" xfId="3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72" fillId="21" borderId="77" xfId="0" applyFont="1" applyFill="1" applyBorder="1" applyAlignment="1">
      <alignment horizontal="right" vertical="center" wrapText="1"/>
    </xf>
    <xf numFmtId="0" fontId="72" fillId="21" borderId="84" xfId="0" applyFont="1" applyFill="1" applyBorder="1" applyAlignment="1">
      <alignment horizontal="right" vertical="center" wrapText="1"/>
    </xf>
    <xf numFmtId="0" fontId="9" fillId="36" borderId="98" xfId="0" applyFont="1" applyFill="1" applyBorder="1" applyAlignment="1">
      <alignment horizontal="center" vertical="center"/>
    </xf>
    <xf numFmtId="0" fontId="9" fillId="36" borderId="99" xfId="0" applyFont="1" applyFill="1" applyBorder="1" applyAlignment="1">
      <alignment horizontal="center" vertical="center"/>
    </xf>
    <xf numFmtId="0" fontId="0" fillId="0" borderId="145" xfId="0" applyBorder="1"/>
    <xf numFmtId="0" fontId="0" fillId="0" borderId="146" xfId="0" applyBorder="1"/>
    <xf numFmtId="17" fontId="91" fillId="0" borderId="147" xfId="0" quotePrefix="1" applyNumberFormat="1" applyFont="1" applyBorder="1" applyAlignment="1">
      <alignment horizontal="right"/>
    </xf>
    <xf numFmtId="0" fontId="0" fillId="18" borderId="0" xfId="0" applyFill="1"/>
    <xf numFmtId="0" fontId="0" fillId="0" borderId="148" xfId="0" applyBorder="1"/>
    <xf numFmtId="0" fontId="0" fillId="0" borderId="0" xfId="0" applyBorder="1"/>
    <xf numFmtId="0" fontId="0" fillId="0" borderId="149" xfId="0" applyBorder="1"/>
    <xf numFmtId="0" fontId="92" fillId="0" borderId="0" xfId="0" applyFont="1" applyAlignment="1">
      <alignment horizontal="center" vertical="center"/>
    </xf>
    <xf numFmtId="0" fontId="92" fillId="0" borderId="149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149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149" xfId="0" applyFont="1" applyBorder="1" applyAlignment="1">
      <alignment horizontal="center" vertical="center"/>
    </xf>
    <xf numFmtId="0" fontId="1" fillId="0" borderId="149" xfId="0" applyFont="1" applyBorder="1"/>
    <xf numFmtId="0" fontId="94" fillId="0" borderId="148" xfId="0" applyFont="1" applyBorder="1" applyAlignment="1">
      <alignment vertical="center"/>
    </xf>
    <xf numFmtId="0" fontId="98" fillId="0" borderId="148" xfId="6" applyFont="1" applyBorder="1" applyAlignment="1" applyProtection="1">
      <alignment vertical="center"/>
    </xf>
    <xf numFmtId="0" fontId="99" fillId="0" borderId="148" xfId="0" applyFont="1" applyBorder="1" applyAlignment="1">
      <alignment vertical="center"/>
    </xf>
    <xf numFmtId="0" fontId="97" fillId="0" borderId="148" xfId="6" applyBorder="1" applyAlignment="1" applyProtection="1">
      <alignment vertical="center"/>
    </xf>
    <xf numFmtId="0" fontId="1" fillId="0" borderId="148" xfId="0" applyFont="1" applyBorder="1" applyAlignment="1">
      <alignment vertical="center"/>
    </xf>
    <xf numFmtId="0" fontId="0" fillId="0" borderId="150" xfId="0" applyBorder="1"/>
    <xf numFmtId="0" fontId="0" fillId="0" borderId="151" xfId="0" applyBorder="1"/>
    <xf numFmtId="0" fontId="0" fillId="0" borderId="152" xfId="0" applyBorder="1"/>
  </cellXfs>
  <cellStyles count="7">
    <cellStyle name="Lien hypertexte" xfId="6" builtinId="8"/>
    <cellStyle name="Milliers" xfId="4" builtinId="3"/>
    <cellStyle name="Normal" xfId="0" builtinId="0"/>
    <cellStyle name="Normal 2" xfId="3"/>
    <cellStyle name="Pourcentage" xfId="1" builtinId="5"/>
    <cellStyle name="Pourcentage 2" xfId="2"/>
    <cellStyle name="Pourcentage 2 2" xfId="5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19378871335824E-2"/>
          <c:y val="4.5012823982781065E-2"/>
          <c:w val="0.77981117474945472"/>
          <c:h val="0.73977690136488417"/>
        </c:manualLayout>
      </c:layout>
      <c:barChart>
        <c:barDir val="col"/>
        <c:grouping val="clustered"/>
        <c:varyColors val="0"/>
        <c:ser>
          <c:idx val="0"/>
          <c:order val="0"/>
          <c:tx>
            <c:v>Recettes totales (hors contribution RG)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373626373626374E-2"/>
                  <c:y val="4.6944660086503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29007420584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088411443350374E-3"/>
                  <c:y val="-1.4300538014143784E-3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588874416497355E-2"/>
                  <c:y val="2.901077536248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NET'!$C$4:$H$4</c:f>
              <c:numCache>
                <c:formatCode>#\ ##0.0</c:formatCode>
                <c:ptCount val="6"/>
                <c:pt idx="0">
                  <c:v>15305.066227300002</c:v>
                </c:pt>
                <c:pt idx="1">
                  <c:v>14098.776949204741</c:v>
                </c:pt>
                <c:pt idx="2">
                  <c:v>13962.723014627816</c:v>
                </c:pt>
                <c:pt idx="3">
                  <c:v>14238.889716063788</c:v>
                </c:pt>
                <c:pt idx="4">
                  <c:v>14594.44379721615</c:v>
                </c:pt>
                <c:pt idx="5">
                  <c:v>14972.947287798665</c:v>
                </c:pt>
              </c:numCache>
            </c:numRef>
          </c:val>
        </c:ser>
        <c:ser>
          <c:idx val="2"/>
          <c:order val="2"/>
          <c:tx>
            <c:v>Cotisations sociales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NET'!$C$5:$H$5</c:f>
              <c:numCache>
                <c:formatCode>#\ ##0.0</c:formatCode>
                <c:ptCount val="6"/>
                <c:pt idx="0">
                  <c:v>5435.20399499</c:v>
                </c:pt>
                <c:pt idx="1">
                  <c:v>5389.2367088990131</c:v>
                </c:pt>
                <c:pt idx="2">
                  <c:v>5727.2087312081667</c:v>
                </c:pt>
                <c:pt idx="3">
                  <c:v>5926.2112505156292</c:v>
                </c:pt>
                <c:pt idx="4">
                  <c:v>6076.5836759079357</c:v>
                </c:pt>
                <c:pt idx="5">
                  <c:v>6214.743556976623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20904"/>
        <c:axId val="552421296"/>
      </c:barChart>
      <c:lineChart>
        <c:grouping val="standard"/>
        <c:varyColors val="0"/>
        <c:ser>
          <c:idx val="1"/>
          <c:order val="1"/>
          <c:tx>
            <c:v>Evolution des recettes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913969455937849E-2"/>
                  <c:y val="6.659578032968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7701020168760671E-2"/>
                  <c:y val="-5.173699441415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181413673982866E-2"/>
                  <c:y val="3.621449028273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15700567119984E-2"/>
                  <c:y val="7.148050938077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040733939016496E-2"/>
                  <c:y val="6.354517651105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40365836886259E-2"/>
                  <c:y val="5.655352909946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'RESULTAT NET'!$B$17:$G$17</c:f>
              <c:numCache>
                <c:formatCode>\+0.0%;\-0.0%;General</c:formatCode>
                <c:ptCount val="6"/>
                <c:pt idx="0">
                  <c:v>3.2994594204593497E-2</c:v>
                </c:pt>
                <c:pt idx="1">
                  <c:v>-7.8816338340540804E-2</c:v>
                </c:pt>
                <c:pt idx="2">
                  <c:v>-9.6500522752506201E-3</c:v>
                </c:pt>
                <c:pt idx="3">
                  <c:v>1.9778856971283565E-2</c:v>
                </c:pt>
                <c:pt idx="4">
                  <c:v>2.4970632418849226E-2</c:v>
                </c:pt>
                <c:pt idx="5">
                  <c:v>2.5934766397518461E-2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2422864"/>
        <c:axId val="552423256"/>
      </c:lineChart>
      <c:catAx>
        <c:axId val="55242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2421296"/>
        <c:crosses val="autoZero"/>
        <c:auto val="1"/>
        <c:lblAlgn val="ctr"/>
        <c:lblOffset val="100"/>
        <c:noMultiLvlLbl val="0"/>
      </c:catAx>
      <c:valAx>
        <c:axId val="552421296"/>
        <c:scaling>
          <c:orientation val="minMax"/>
          <c:max val="16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2420904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2.8254909168349381E-2"/>
                <c:y val="0.32796788204513533"/>
              </c:manualLayout>
            </c:layout>
            <c:tx>
              <c:rich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r>
                    <a:rPr lang="fr-FR"/>
                    <a:t>Milliards  d'euros</a:t>
                  </a:r>
                </a:p>
              </c:rich>
            </c:tx>
          </c:dispUnitsLbl>
        </c:dispUnits>
      </c:valAx>
      <c:valAx>
        <c:axId val="552423256"/>
        <c:scaling>
          <c:orientation val="minMax"/>
          <c:max val="5.000000000000001E-2"/>
          <c:min val="-0.1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overlay val="0"/>
        </c:title>
        <c:numFmt formatCode="\+0.0%;\-0.0%;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552422864"/>
        <c:crosses val="max"/>
        <c:crossBetween val="between"/>
        <c:majorUnit val="2.0000000000000004E-2"/>
      </c:valAx>
      <c:catAx>
        <c:axId val="55242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4232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4.6676019136953469E-2"/>
          <c:y val="0.82710886852517773"/>
          <c:w val="0.93119468202420985"/>
          <c:h val="0.14833868202966918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Prest._cotisa.!$C$45:$H$45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Prest._cotisa.!$C$47:$H$47</c:f>
              <c:numCache>
                <c:formatCode>#\ ##0.0</c:formatCode>
                <c:ptCount val="6"/>
                <c:pt idx="0">
                  <c:v>-5.1608974732764656E-2</c:v>
                </c:pt>
                <c:pt idx="1">
                  <c:v>0.14876918909303449</c:v>
                </c:pt>
                <c:pt idx="2">
                  <c:v>4.0317746001065732E-2</c:v>
                </c:pt>
                <c:pt idx="3">
                  <c:v>6.3046892326587042E-2</c:v>
                </c:pt>
                <c:pt idx="4">
                  <c:v>6.0365643901578718E-2</c:v>
                </c:pt>
                <c:pt idx="5">
                  <c:v>5.7711822616785577E-2</c:v>
                </c:pt>
              </c:numCache>
            </c:numRef>
          </c:val>
        </c:ser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cat>
            <c:strRef>
              <c:f>Prest._cotisa.!$C$45:$H$45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Prest._cotisa.!$C$46:$H$46</c:f>
              <c:numCache>
                <c:formatCode>#\ ##0.0</c:formatCode>
                <c:ptCount val="6"/>
                <c:pt idx="0">
                  <c:v>2.2836772601396431</c:v>
                </c:pt>
                <c:pt idx="1">
                  <c:v>-3.9927495243856761</c:v>
                </c:pt>
                <c:pt idx="2">
                  <c:v>-1.8966744469723413</c:v>
                </c:pt>
                <c:pt idx="3">
                  <c:v>0.52952872072139678</c:v>
                </c:pt>
                <c:pt idx="4">
                  <c:v>0.75196007566376588</c:v>
                </c:pt>
                <c:pt idx="5">
                  <c:v>0.82022550961672147</c:v>
                </c:pt>
              </c:numCache>
            </c:numRef>
          </c:val>
        </c:ser>
        <c:ser>
          <c:idx val="2"/>
          <c:order val="2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cat>
            <c:strRef>
              <c:f>Prest._cotisa.!$C$45:$H$45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Prest._cotisa.!$C$49:$H$49</c:f>
              <c:numCache>
                <c:formatCode>#\ ##0.0</c:formatCode>
                <c:ptCount val="6"/>
                <c:pt idx="0">
                  <c:v>0.97408918873474415</c:v>
                </c:pt>
                <c:pt idx="1">
                  <c:v>1.0961855141283834</c:v>
                </c:pt>
                <c:pt idx="2">
                  <c:v>1.6719446621682887</c:v>
                </c:pt>
                <c:pt idx="3">
                  <c:v>1.9576773105260488</c:v>
                </c:pt>
                <c:pt idx="4">
                  <c:v>1.9053238549354055</c:v>
                </c:pt>
                <c:pt idx="5">
                  <c:v>1.9790270911262606</c:v>
                </c:pt>
              </c:numCache>
            </c:numRef>
          </c:val>
        </c:ser>
        <c:ser>
          <c:idx val="3"/>
          <c:order val="3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Prest._cotisa.!$C$45:$H$45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Prest._cotisa.!$C$48:$H$48</c:f>
              <c:numCache>
                <c:formatCode>#\ ##0.0</c:formatCode>
                <c:ptCount val="6"/>
                <c:pt idx="0">
                  <c:v>-0.11126351519232333</c:v>
                </c:pt>
                <c:pt idx="1">
                  <c:v>-0.11479528520742961</c:v>
                </c:pt>
                <c:pt idx="2">
                  <c:v>-3.167887225896221E-2</c:v>
                </c:pt>
                <c:pt idx="3">
                  <c:v>-2.8618502310304949E-2</c:v>
                </c:pt>
                <c:pt idx="4">
                  <c:v>-2.1426235374446573E-2</c:v>
                </c:pt>
                <c:pt idx="5">
                  <c:v>-1.8995485664503285E-2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276920"/>
        <c:axId val="627274176"/>
      </c:barChart>
      <c:lineChart>
        <c:grouping val="standard"/>
        <c:varyColors val="0"/>
        <c:ser>
          <c:idx val="5"/>
          <c:order val="4"/>
          <c:tx>
            <c:v>Evolution des prestations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Lbls>
            <c:dLbl>
              <c:idx val="0"/>
              <c:layout>
                <c:manualLayout>
                  <c:x val="-4.608653509039997E-2"/>
                  <c:y val="-6.808963817605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08653509039997E-2"/>
                  <c:y val="0.146398649412333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33189875764966E-2"/>
                  <c:y val="-6.808963817605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Prest._cotisa.!$D$23:$I$23</c:f>
              <c:numCache>
                <c:formatCode>\+0.0%;\-0.0%;General</c:formatCode>
                <c:ptCount val="6"/>
                <c:pt idx="0">
                  <c:v>3.1937367238814351E-2</c:v>
                </c:pt>
                <c:pt idx="1">
                  <c:v>-2.8625901063716874E-2</c:v>
                </c:pt>
                <c:pt idx="2">
                  <c:v>-2.1609091106195022E-3</c:v>
                </c:pt>
                <c:pt idx="3">
                  <c:v>2.5216344212637187E-2</c:v>
                </c:pt>
                <c:pt idx="4">
                  <c:v>2.6962233391263135E-2</c:v>
                </c:pt>
                <c:pt idx="5">
                  <c:v>2.8379689376952788E-2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73784"/>
        <c:axId val="627277312"/>
      </c:lineChart>
      <c:catAx>
        <c:axId val="627276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627274176"/>
        <c:crosses val="autoZero"/>
        <c:auto val="1"/>
        <c:lblAlgn val="ctr"/>
        <c:lblOffset val="100"/>
        <c:noMultiLvlLbl val="0"/>
      </c:catAx>
      <c:valAx>
        <c:axId val="627274176"/>
        <c:scaling>
          <c:orientation val="minMax"/>
          <c:max val="3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80407124679E-2"/>
              <c:y val="7.04343536005367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627276920"/>
        <c:crosses val="autoZero"/>
        <c:crossBetween val="between"/>
        <c:majorUnit val="1"/>
      </c:valAx>
      <c:valAx>
        <c:axId val="627277312"/>
        <c:scaling>
          <c:orientation val="minMax"/>
          <c:max val="4.6000000000000013E-2"/>
          <c:min val="-6.0000000000000012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716274969445613"/>
              <c:y val="0.48186568784165135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627273784"/>
        <c:crosses val="max"/>
        <c:crossBetween val="between"/>
        <c:majorUnit val="1.0000000000000002E-2"/>
      </c:valAx>
      <c:catAx>
        <c:axId val="627273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2773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2.3529411764706097E-3"/>
                  <c:y val="-0.198028626952108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136756582467741E-17"/>
                  <c:y val="-6.19675775822139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0.165876486027481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18500293345684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0.208948278524008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52941176470588E-3"/>
                  <c:y val="-0.226301065308012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Prest._cotisa.!$C$45:$H$45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SOLDES!$C$20:$H$20</c:f>
              <c:numCache>
                <c:formatCode>#\ ##0.0</c:formatCode>
                <c:ptCount val="6"/>
                <c:pt idx="0">
                  <c:v>51.405355889999896</c:v>
                </c:pt>
                <c:pt idx="1">
                  <c:v>27.783540153264312</c:v>
                </c:pt>
                <c:pt idx="2">
                  <c:v>39.019337560961276</c:v>
                </c:pt>
                <c:pt idx="3">
                  <c:v>41.381062501371161</c:v>
                </c:pt>
                <c:pt idx="4">
                  <c:v>43.700916131801137</c:v>
                </c:pt>
                <c:pt idx="5">
                  <c:v>46.024589930149091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197168"/>
        <c:axId val="331194424"/>
      </c:barChart>
      <c:catAx>
        <c:axId val="33119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31194424"/>
        <c:crosses val="autoZero"/>
        <c:auto val="1"/>
        <c:lblAlgn val="ctr"/>
        <c:lblOffset val="100"/>
        <c:noMultiLvlLbl val="0"/>
      </c:catAx>
      <c:valAx>
        <c:axId val="33119442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b="0">
                    <a:solidFill>
                      <a:schemeClr val="accent1">
                        <a:lumMod val="75000"/>
                      </a:schemeClr>
                    </a:solidFill>
                  </a:rPr>
                  <a:t>Millions</a:t>
                </a:r>
                <a:r>
                  <a:rPr lang="fr-FR" b="0" baseline="0">
                    <a:solidFill>
                      <a:schemeClr val="accent1">
                        <a:lumMod val="75000"/>
                      </a:schemeClr>
                    </a:solidFill>
                  </a:rPr>
                  <a:t> d'euros</a:t>
                </a:r>
                <a:endParaRPr lang="fr-FR" b="0">
                  <a:solidFill>
                    <a:schemeClr val="accent1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2.5882352941176471E-2"/>
              <c:y val="5.9600432298903813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311971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82815496541839E-2"/>
          <c:y val="9.7005405247187607E-2"/>
          <c:w val="0.74998351010946729"/>
          <c:h val="0.69099606396227797"/>
        </c:manualLayout>
      </c:layout>
      <c:barChart>
        <c:barDir val="col"/>
        <c:grouping val="clustered"/>
        <c:varyColors val="0"/>
        <c:ser>
          <c:idx val="0"/>
          <c:order val="0"/>
          <c:tx>
            <c:v>Cotisations sociales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NET'!$B$31:$G$31</c:f>
              <c:numCache>
                <c:formatCode>0.0</c:formatCode>
                <c:ptCount val="6"/>
                <c:pt idx="0">
                  <c:v>-2.178405595037876</c:v>
                </c:pt>
                <c:pt idx="1">
                  <c:v>-0.30034032789086329</c:v>
                </c:pt>
                <c:pt idx="2">
                  <c:v>2.3971726308374408</c:v>
                </c:pt>
                <c:pt idx="3">
                  <c:v>1.4252414740232346</c:v>
                </c:pt>
                <c:pt idx="4">
                  <c:v>1.0560684743745259</c:v>
                </c:pt>
                <c:pt idx="5">
                  <c:v>0.94666081824263582</c:v>
                </c:pt>
              </c:numCache>
            </c:numRef>
          </c:val>
        </c:ser>
        <c:ser>
          <c:idx val="1"/>
          <c:order val="1"/>
          <c:tx>
            <c:v>Compensation démographique vieillesse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NET'!$B$32:$G$32</c:f>
              <c:numCache>
                <c:formatCode>0.0</c:formatCode>
                <c:ptCount val="6"/>
                <c:pt idx="0">
                  <c:v>-0.3172200969703407</c:v>
                </c:pt>
                <c:pt idx="1">
                  <c:v>0.14854795033141066</c:v>
                </c:pt>
                <c:pt idx="2">
                  <c:v>-0.1556570689406937</c:v>
                </c:pt>
                <c:pt idx="3">
                  <c:v>-0.29437640642585544</c:v>
                </c:pt>
                <c:pt idx="4">
                  <c:v>-0.27171094242566812</c:v>
                </c:pt>
                <c:pt idx="5">
                  <c:v>-0.25532845764958523</c:v>
                </c:pt>
              </c:numCache>
            </c:numRef>
          </c:val>
        </c:ser>
        <c:ser>
          <c:idx val="2"/>
          <c:order val="2"/>
          <c:tx>
            <c:v>CSG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NET'!$B$33:$G$33</c:f>
              <c:numCache>
                <c:formatCode>0.0</c:formatCode>
                <c:ptCount val="6"/>
                <c:pt idx="0">
                  <c:v>1.3933663483536024E-2</c:v>
                </c:pt>
                <c:pt idx="1">
                  <c:v>-2.4165092437846489</c:v>
                </c:pt>
                <c:pt idx="2">
                  <c:v>0.21685058565956056</c:v>
                </c:pt>
                <c:pt idx="3">
                  <c:v>0.21135713852282034</c:v>
                </c:pt>
                <c:pt idx="4">
                  <c:v>0.19518241653829521</c:v>
                </c:pt>
                <c:pt idx="5">
                  <c:v>0.17114371418241325</c:v>
                </c:pt>
              </c:numCache>
            </c:numRef>
          </c:val>
        </c:ser>
        <c:ser>
          <c:idx val="3"/>
          <c:order val="3"/>
          <c:tx>
            <c:v>Impôts et taxes affectés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NET'!$B$34:$G$34</c:f>
              <c:numCache>
                <c:formatCode>0.0</c:formatCode>
                <c:ptCount val="6"/>
                <c:pt idx="0">
                  <c:v>0</c:v>
                </c:pt>
                <c:pt idx="1">
                  <c:v>1.1991735891519733E-2</c:v>
                </c:pt>
                <c:pt idx="2">
                  <c:v>0</c:v>
                </c:pt>
                <c:pt idx="3">
                  <c:v>2.9972519122578828E-3</c:v>
                </c:pt>
                <c:pt idx="4">
                  <c:v>2.8758111369176793E-3</c:v>
                </c:pt>
                <c:pt idx="5">
                  <c:v>3.0191181830720604E-3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22472"/>
        <c:axId val="605704968"/>
      </c:barChart>
      <c:lineChart>
        <c:grouping val="standard"/>
        <c:varyColors val="0"/>
        <c:ser>
          <c:idx val="5"/>
          <c:order val="4"/>
          <c:tx>
            <c:v>Evolution des recettes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Lbls>
            <c:dLbl>
              <c:idx val="0"/>
              <c:layout>
                <c:manualLayout>
                  <c:x val="-6.5527227549520561E-2"/>
                  <c:y val="4.313984844803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484889092761471E-2"/>
                  <c:y val="4.2466619671587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455857722804948E-2"/>
                  <c:y val="6.012162757268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405546072566725E-2"/>
                  <c:y val="-5.063394573287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389494701682555E-2"/>
                  <c:y val="-5.4739713931683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385590094668124E-2"/>
                  <c:y val="-5.473971393168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'RESULTAT NET'!$B$17:$G$17</c:f>
              <c:numCache>
                <c:formatCode>\+0.0%;\-0.0%;General</c:formatCode>
                <c:ptCount val="6"/>
                <c:pt idx="0">
                  <c:v>3.2994594204593497E-2</c:v>
                </c:pt>
                <c:pt idx="1">
                  <c:v>-7.8816338340540804E-2</c:v>
                </c:pt>
                <c:pt idx="2">
                  <c:v>-9.6500522752506201E-3</c:v>
                </c:pt>
                <c:pt idx="3">
                  <c:v>1.9778856971283565E-2</c:v>
                </c:pt>
                <c:pt idx="4">
                  <c:v>2.4970632418849226E-2</c:v>
                </c:pt>
                <c:pt idx="5">
                  <c:v>2.5934766397518461E-2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04576"/>
        <c:axId val="605705360"/>
      </c:lineChart>
      <c:catAx>
        <c:axId val="552422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605704968"/>
        <c:crosses val="autoZero"/>
        <c:auto val="1"/>
        <c:lblAlgn val="ctr"/>
        <c:lblOffset val="100"/>
        <c:noMultiLvlLbl val="0"/>
      </c:catAx>
      <c:valAx>
        <c:axId val="605704968"/>
        <c:scaling>
          <c:orientation val="minMax"/>
          <c:max val="4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80407124679E-2"/>
              <c:y val="7.04343536005367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2422472"/>
        <c:crosses val="autoZero"/>
        <c:crossBetween val="between"/>
        <c:majorUnit val="2"/>
      </c:valAx>
      <c:valAx>
        <c:axId val="605705360"/>
        <c:scaling>
          <c:orientation val="minMax"/>
          <c:max val="6.0000000000000012E-2"/>
          <c:min val="-0.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716274969445613"/>
              <c:y val="0.48186568784165135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605704576"/>
        <c:crosses val="max"/>
        <c:crossBetween val="between"/>
        <c:majorUnit val="2.0000000000000004E-2"/>
      </c:valAx>
      <c:catAx>
        <c:axId val="6057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7053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txPr>
          <a:bodyPr/>
          <a:lstStyle/>
          <a:p>
            <a:pPr>
              <a:defRPr sz="8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1.8794117969653492E-2"/>
          <c:y val="0.83250895565119631"/>
          <c:w val="0.97963607450155077"/>
          <c:h val="0.1334383299543547"/>
        </c:manualLayout>
      </c:layout>
      <c:overlay val="0"/>
      <c:txPr>
        <a:bodyPr/>
        <a:lstStyle/>
        <a:p>
          <a:pPr rtl="0">
            <a:defRPr sz="8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Dépenses totales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373626373626374E-2"/>
                  <c:y val="4.6944660086503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29007420584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088411443350374E-3"/>
                  <c:y val="-1.4300538014143784E-3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588874416497355E-2"/>
                  <c:y val="2.901077536248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NET'!$C$2:$H$2</c:f>
              <c:numCache>
                <c:formatCode>#\ ##0.0</c:formatCode>
                <c:ptCount val="6"/>
                <c:pt idx="0">
                  <c:v>15253.660871410004</c:v>
                </c:pt>
                <c:pt idx="1">
                  <c:v>14070.993409051473</c:v>
                </c:pt>
                <c:pt idx="2">
                  <c:v>13923.703677066853</c:v>
                </c:pt>
                <c:pt idx="3">
                  <c:v>14197.508653562416</c:v>
                </c:pt>
                <c:pt idx="4">
                  <c:v>14550.742881084348</c:v>
                </c:pt>
                <c:pt idx="5">
                  <c:v>14926.922697868513</c:v>
                </c:pt>
              </c:numCache>
            </c:numRef>
          </c:val>
        </c:ser>
        <c:ser>
          <c:idx val="2"/>
          <c:order val="2"/>
          <c:tx>
            <c:v>Prestations légales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'RESULTAT NET'!$C$3:$H$3</c:f>
              <c:numCache>
                <c:formatCode>#\ ##0.0</c:formatCode>
                <c:ptCount val="6"/>
                <c:pt idx="0">
                  <c:v>12357.206363860001</c:v>
                </c:pt>
                <c:pt idx="1">
                  <c:v>12003.470197064213</c:v>
                </c:pt>
                <c:pt idx="2">
                  <c:v>11977.531788956327</c:v>
                </c:pt>
                <c:pt idx="3">
                  <c:v>12279.561353364454</c:v>
                </c:pt>
                <c:pt idx="4">
                  <c:v>12610.6457525162</c:v>
                </c:pt>
                <c:pt idx="5">
                  <c:v>12968.531961815399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06144"/>
        <c:axId val="360743168"/>
      </c:barChart>
      <c:lineChart>
        <c:grouping val="standard"/>
        <c:varyColors val="0"/>
        <c:ser>
          <c:idx val="1"/>
          <c:order val="1"/>
          <c:tx>
            <c:v>Evolution des dépenses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913969455937849E-2"/>
                  <c:y val="6.659578032968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7701020168760671E-2"/>
                  <c:y val="-5.173699441415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181413673982866E-2"/>
                  <c:y val="3.621449028273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15700567119984E-2"/>
                  <c:y val="7.148050938077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040733939016496E-2"/>
                  <c:y val="6.354517651105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40365836886259E-2"/>
                  <c:y val="5.655352909946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'RESULTAT NET'!$B$16:$G$16</c:f>
              <c:numCache>
                <c:formatCode>\+0.0%;\-0.0%;General</c:formatCode>
                <c:ptCount val="6"/>
                <c:pt idx="0">
                  <c:v>3.1937367238814351E-2</c:v>
                </c:pt>
                <c:pt idx="1">
                  <c:v>-2.8625901063716874E-2</c:v>
                </c:pt>
                <c:pt idx="2">
                  <c:v>-2.1609091106195022E-3</c:v>
                </c:pt>
                <c:pt idx="3">
                  <c:v>2.5216344212637187E-2</c:v>
                </c:pt>
                <c:pt idx="4">
                  <c:v>2.6962233391263135E-2</c:v>
                </c:pt>
                <c:pt idx="5">
                  <c:v>2.8379689376952788E-2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0743560"/>
        <c:axId val="360744344"/>
      </c:lineChart>
      <c:catAx>
        <c:axId val="6057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60743168"/>
        <c:crosses val="autoZero"/>
        <c:auto val="1"/>
        <c:lblAlgn val="ctr"/>
        <c:lblOffset val="100"/>
        <c:noMultiLvlLbl val="0"/>
      </c:catAx>
      <c:valAx>
        <c:axId val="360743168"/>
        <c:scaling>
          <c:orientation val="minMax"/>
          <c:max val="16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605706144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2.8254872296876392E-2"/>
                <c:y val="0.10699588477366255"/>
              </c:manualLayout>
            </c:layout>
            <c:tx>
              <c:rich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r>
                    <a:rPr lang="fr-FR"/>
                    <a:t>Milliards  d'euros</a:t>
                  </a:r>
                </a:p>
              </c:rich>
            </c:tx>
          </c:dispUnitsLbl>
        </c:dispUnits>
      </c:valAx>
      <c:valAx>
        <c:axId val="360744344"/>
        <c:scaling>
          <c:orientation val="minMax"/>
          <c:max val="5.000000000000001E-2"/>
          <c:min val="-6.0000000000000012E-2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overlay val="0"/>
        </c:title>
        <c:numFmt formatCode="\+0.0%;\-0.0%;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360743560"/>
        <c:crosses val="max"/>
        <c:crossBetween val="between"/>
        <c:majorUnit val="2.0000000000000004E-2"/>
      </c:valAx>
      <c:catAx>
        <c:axId val="36074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74434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4.667602301007711E-2"/>
          <c:y val="0.85018564506359784"/>
          <c:w val="0.93119468202420985"/>
          <c:h val="0.14833868202966918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56257835452922E-2"/>
          <c:y val="3.5202572282447095E-2"/>
          <c:w val="0.77557046682391384"/>
          <c:h val="0.77768907838305035"/>
        </c:manualLayout>
      </c:layout>
      <c:barChart>
        <c:barDir val="col"/>
        <c:grouping val="clustered"/>
        <c:varyColors val="0"/>
        <c:ser>
          <c:idx val="0"/>
          <c:order val="0"/>
          <c:tx>
            <c:v>Dépenses totales (hors versements Régime général)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29007420584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066868390373966E-2"/>
                  <c:y val="-3.4754286083470436E-4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835768963117608E-3"/>
                  <c:y val="-4.28667346814206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RETRAITE!$C$2:$H$2</c:f>
              <c:numCache>
                <c:formatCode>#\ ##0.0</c:formatCode>
                <c:ptCount val="6"/>
                <c:pt idx="0">
                  <c:v>6704.1865379800029</c:v>
                </c:pt>
                <c:pt idx="1">
                  <c:v>6725.8020161372497</c:v>
                </c:pt>
                <c:pt idx="2">
                  <c:v>6828.5599653849795</c:v>
                </c:pt>
                <c:pt idx="3">
                  <c:v>7018.1114655208958</c:v>
                </c:pt>
                <c:pt idx="4">
                  <c:v>7256.838267839109</c:v>
                </c:pt>
                <c:pt idx="5">
                  <c:v>7510.8245790530164</c:v>
                </c:pt>
              </c:numCache>
            </c:numRef>
          </c:val>
        </c:ser>
        <c:ser>
          <c:idx val="2"/>
          <c:order val="2"/>
          <c:tx>
            <c:v>Prestations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RETRAITE!$C$3:$H$3</c:f>
              <c:numCache>
                <c:formatCode>#\ ##0.0</c:formatCode>
                <c:ptCount val="6"/>
                <c:pt idx="0">
                  <c:v>6097.3565332900025</c:v>
                </c:pt>
                <c:pt idx="1">
                  <c:v>6232.8144394015862</c:v>
                </c:pt>
                <c:pt idx="2">
                  <c:v>6433.5058186363622</c:v>
                </c:pt>
                <c:pt idx="3">
                  <c:v>6667.9872408298043</c:v>
                </c:pt>
                <c:pt idx="4">
                  <c:v>6901.9526525768861</c:v>
                </c:pt>
                <c:pt idx="5">
                  <c:v>7151.5207483851455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867488"/>
        <c:axId val="566867880"/>
      </c:barChart>
      <c:lineChart>
        <c:grouping val="standard"/>
        <c:varyColors val="0"/>
        <c:ser>
          <c:idx val="1"/>
          <c:order val="1"/>
          <c:tx>
            <c:v>Evolution des dépenses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7.5991427188223964E-2"/>
                  <c:y val="4.578378083875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3743635634866082E-2"/>
                  <c:y val="2.809731276365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717057472915749E-2"/>
                  <c:y val="5.7384375131998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458332871628298E-2"/>
                  <c:y val="5.2348982606454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2437126281613584E-2"/>
                  <c:y val="9.201002304699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581326508504983E-2"/>
                  <c:y val="6.0888427993978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RETRAITE!$B$15:$G$15</c:f>
              <c:numCache>
                <c:formatCode>\+0.0%;\-0.0%;General</c:formatCode>
                <c:ptCount val="6"/>
                <c:pt idx="0">
                  <c:v>-5.3256620480153227E-3</c:v>
                </c:pt>
                <c:pt idx="1">
                  <c:v>3.2241761226052823E-3</c:v>
                </c:pt>
                <c:pt idx="2">
                  <c:v>1.5278170395319757E-2</c:v>
                </c:pt>
                <c:pt idx="3">
                  <c:v>2.7758634484690958E-2</c:v>
                </c:pt>
                <c:pt idx="4">
                  <c:v>3.401581800047615E-2</c:v>
                </c:pt>
                <c:pt idx="5">
                  <c:v>3.4999582716280786E-2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6869448"/>
        <c:axId val="566870624"/>
      </c:lineChart>
      <c:catAx>
        <c:axId val="5668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66867880"/>
        <c:crosses val="autoZero"/>
        <c:auto val="1"/>
        <c:lblAlgn val="ctr"/>
        <c:lblOffset val="100"/>
        <c:noMultiLvlLbl val="0"/>
      </c:catAx>
      <c:valAx>
        <c:axId val="566867880"/>
        <c:scaling>
          <c:orientation val="minMax"/>
          <c:max val="8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66867488"/>
        <c:crosses val="autoZero"/>
        <c:crossBetween val="between"/>
        <c:majorUnit val="1000"/>
      </c:valAx>
      <c:valAx>
        <c:axId val="566870624"/>
        <c:scaling>
          <c:orientation val="minMax"/>
          <c:max val="5.000000000000001E-2"/>
          <c:min val="-1.0000000000000002E-2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233794439746732"/>
              <c:y val="0.31400911029257372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566869448"/>
        <c:crosses val="max"/>
        <c:crossBetween val="between"/>
        <c:majorUnit val="5.000000000000001E-3"/>
      </c:valAx>
      <c:catAx>
        <c:axId val="56686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87062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"/>
          <c:y val="0.88439041844947397"/>
          <c:w val="0.99307824543934131"/>
          <c:h val="0.10920911386280824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Recettes totales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373626373626374E-2"/>
                  <c:y val="4.6944660086503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29007420584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088411443350374E-3"/>
                  <c:y val="-1.4300538014143784E-3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499591447086329E-4"/>
                  <c:y val="-1.2774699458863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RETRAITE!$C$4:$H$4</c:f>
              <c:numCache>
                <c:formatCode>#\ ##0.0</c:formatCode>
                <c:ptCount val="6"/>
                <c:pt idx="0">
                  <c:v>6704.186537980001</c:v>
                </c:pt>
                <c:pt idx="1">
                  <c:v>6725.8020161372506</c:v>
                </c:pt>
                <c:pt idx="2">
                  <c:v>6828.5599653849804</c:v>
                </c:pt>
                <c:pt idx="3">
                  <c:v>7018.1114655208958</c:v>
                </c:pt>
                <c:pt idx="4">
                  <c:v>7256.838267839109</c:v>
                </c:pt>
                <c:pt idx="5">
                  <c:v>7510.8245790530173</c:v>
                </c:pt>
              </c:numCache>
            </c:numRef>
          </c:val>
        </c:ser>
        <c:ser>
          <c:idx val="2"/>
          <c:order val="2"/>
          <c:tx>
            <c:v>Cotisations sociales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RETRAITE!$C$5:$H$5</c:f>
              <c:numCache>
                <c:formatCode>#\ ##0.0</c:formatCode>
                <c:ptCount val="6"/>
                <c:pt idx="0">
                  <c:v>2949.6173165</c:v>
                </c:pt>
                <c:pt idx="1">
                  <c:v>2947.253498909743</c:v>
                </c:pt>
                <c:pt idx="2">
                  <c:v>3101.6132387693006</c:v>
                </c:pt>
                <c:pt idx="3">
                  <c:v>3191.4099031101687</c:v>
                </c:pt>
                <c:pt idx="4">
                  <c:v>3275.8945312355036</c:v>
                </c:pt>
                <c:pt idx="5">
                  <c:v>3352.1392499076414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15072"/>
        <c:axId val="555315464"/>
      </c:barChart>
      <c:lineChart>
        <c:grouping val="standard"/>
        <c:varyColors val="0"/>
        <c:ser>
          <c:idx val="1"/>
          <c:order val="1"/>
          <c:tx>
            <c:v>Evolution des recettes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4193330474811299E-2"/>
                  <c:y val="-5.936280200570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3661766728421525E-2"/>
                  <c:y val="3.1833705971938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5240156301827514E-2"/>
                  <c:y val="-2.836298240497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856820406611275E-2"/>
                  <c:y val="6.5019279997407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82497754981514"/>
                  <c:y val="5.6315090243349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8324609447685"/>
                  <c:y val="4.571433200479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RETRAITE!$B$17:$G$17</c:f>
              <c:numCache>
                <c:formatCode>\+0.0%;\-0.0%;General</c:formatCode>
                <c:ptCount val="6"/>
                <c:pt idx="0">
                  <c:v>-5.3256620480156558E-3</c:v>
                </c:pt>
                <c:pt idx="1">
                  <c:v>3.2241761226057264E-3</c:v>
                </c:pt>
                <c:pt idx="2">
                  <c:v>1.5278170395319757E-2</c:v>
                </c:pt>
                <c:pt idx="3">
                  <c:v>2.7758634484690958E-2</c:v>
                </c:pt>
                <c:pt idx="4">
                  <c:v>3.401581800047615E-2</c:v>
                </c:pt>
                <c:pt idx="5">
                  <c:v>3.4999582716281008E-2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5315856"/>
        <c:axId val="555316640"/>
      </c:lineChart>
      <c:catAx>
        <c:axId val="5553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5315464"/>
        <c:crosses val="autoZero"/>
        <c:auto val="1"/>
        <c:lblAlgn val="ctr"/>
        <c:lblOffset val="100"/>
        <c:noMultiLvlLbl val="0"/>
      </c:catAx>
      <c:valAx>
        <c:axId val="555315464"/>
        <c:scaling>
          <c:orientation val="minMax"/>
          <c:max val="8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5315072"/>
        <c:crosses val="autoZero"/>
        <c:crossBetween val="between"/>
        <c:majorUnit val="2000"/>
      </c:valAx>
      <c:valAx>
        <c:axId val="555316640"/>
        <c:scaling>
          <c:orientation val="minMax"/>
          <c:max val="5.000000000000001E-2"/>
          <c:min val="-1.0000000000000002E-2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overlay val="0"/>
        </c:title>
        <c:numFmt formatCode="\+0.0%;\-0.0%;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555315856"/>
        <c:crosses val="max"/>
        <c:crossBetween val="between"/>
        <c:majorUnit val="1.0000000000000002E-2"/>
      </c:valAx>
      <c:catAx>
        <c:axId val="55531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166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43702698639365E-2"/>
          <c:y val="9.7240726087072127E-2"/>
          <c:w val="0.79056814947655385"/>
          <c:h val="0.69120393760206411"/>
        </c:manualLayout>
      </c:layout>
      <c:barChart>
        <c:barDir val="col"/>
        <c:grouping val="clustered"/>
        <c:varyColors val="0"/>
        <c:ser>
          <c:idx val="0"/>
          <c:order val="0"/>
          <c:tx>
            <c:v>Cotisations sociales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RETRAITE!$B$29:$G$29</c:f>
              <c:numCache>
                <c:formatCode>0.0</c:formatCode>
                <c:ptCount val="6"/>
                <c:pt idx="0">
                  <c:v>-0.13397497678822606</c:v>
                </c:pt>
                <c:pt idx="1">
                  <c:v>-3.5258827851310078E-2</c:v>
                </c:pt>
                <c:pt idx="2">
                  <c:v>2.2950384131022767</c:v>
                </c:pt>
                <c:pt idx="3">
                  <c:v>1.3150161204713902</c:v>
                </c:pt>
                <c:pt idx="4">
                  <c:v>1.203808582129215</c:v>
                </c:pt>
                <c:pt idx="5">
                  <c:v>1.0506602994039336</c:v>
                </c:pt>
              </c:numCache>
            </c:numRef>
          </c:val>
        </c:ser>
        <c:ser>
          <c:idx val="1"/>
          <c:order val="1"/>
          <c:tx>
            <c:v>Compensation démographique vieillesse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RETRAITE!$B$30:$G$30</c:f>
              <c:numCache>
                <c:formatCode>0.0</c:formatCode>
                <c:ptCount val="6"/>
                <c:pt idx="0">
                  <c:v>-0.69732089969306243</c:v>
                </c:pt>
                <c:pt idx="1">
                  <c:v>0.33912186137304839</c:v>
                </c:pt>
                <c:pt idx="2">
                  <c:v>-0.32629183706216341</c:v>
                </c:pt>
                <c:pt idx="3">
                  <c:v>-0.60192723587424668</c:v>
                </c:pt>
                <c:pt idx="4">
                  <c:v>-0.55126826680569008</c:v>
                </c:pt>
                <c:pt idx="5">
                  <c:v>-0.51349867359058143</c:v>
                </c:pt>
              </c:numCache>
            </c:numRef>
          </c:val>
        </c:ser>
        <c:ser>
          <c:idx val="2"/>
          <c:order val="2"/>
          <c:tx>
            <c:v>CSG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RETRAITE!$B$31:$G$31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Impôts et taxes affectés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RETRAITE!$B$32:$G$32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17032"/>
        <c:axId val="555317424"/>
      </c:barChart>
      <c:lineChart>
        <c:grouping val="standard"/>
        <c:varyColors val="0"/>
        <c:ser>
          <c:idx val="5"/>
          <c:order val="4"/>
          <c:tx>
            <c:v>Evolution des recettes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Lbls>
            <c:dLbl>
              <c:idx val="0"/>
              <c:layout>
                <c:manualLayout>
                  <c:x val="-6.5527227549520561E-2"/>
                  <c:y val="4.313984844803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024000339969401E-2"/>
                  <c:y val="1.148882974560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455857722804948E-2"/>
                  <c:y val="6.012162757268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71348625800472E-2"/>
                  <c:y val="6.940465775111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488236058754714E-2"/>
                  <c:y val="4.593803072971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583057524822764E-2"/>
                  <c:y val="4.5938030729711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RETRAITE!$B$17:$G$17</c:f>
              <c:numCache>
                <c:formatCode>\+0.0%;\-0.0%;General</c:formatCode>
                <c:ptCount val="6"/>
                <c:pt idx="0">
                  <c:v>-5.3256620480156558E-3</c:v>
                </c:pt>
                <c:pt idx="1">
                  <c:v>3.2241761226057264E-3</c:v>
                </c:pt>
                <c:pt idx="2">
                  <c:v>1.5278170395319757E-2</c:v>
                </c:pt>
                <c:pt idx="3">
                  <c:v>2.7758634484690958E-2</c:v>
                </c:pt>
                <c:pt idx="4">
                  <c:v>3.401581800047615E-2</c:v>
                </c:pt>
                <c:pt idx="5">
                  <c:v>3.4999582716281008E-2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314288"/>
        <c:axId val="555313896"/>
      </c:lineChart>
      <c:catAx>
        <c:axId val="555317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5317424"/>
        <c:crosses val="autoZero"/>
        <c:auto val="1"/>
        <c:lblAlgn val="ctr"/>
        <c:lblOffset val="100"/>
        <c:noMultiLvlLbl val="0"/>
      </c:catAx>
      <c:valAx>
        <c:axId val="555317424"/>
        <c:scaling>
          <c:orientation val="minMax"/>
          <c:max val="4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80407124679E-2"/>
              <c:y val="7.04343536005367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55317032"/>
        <c:crosses val="autoZero"/>
        <c:crossBetween val="between"/>
        <c:majorUnit val="2"/>
      </c:valAx>
      <c:valAx>
        <c:axId val="555313896"/>
        <c:scaling>
          <c:orientation val="minMax"/>
          <c:max val="4.0000000000000008E-2"/>
          <c:min val="-2.0000000000000004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716274969445613"/>
              <c:y val="0.48186568784165135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555314288"/>
        <c:crosses val="max"/>
        <c:crossBetween val="between"/>
        <c:majorUnit val="2.0000000000000004E-2"/>
      </c:valAx>
      <c:catAx>
        <c:axId val="55531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138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txPr>
          <a:bodyPr/>
          <a:lstStyle/>
          <a:p>
            <a:pPr>
              <a:defRPr sz="8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2.4631327085108221E-2"/>
          <c:y val="0.83114236366764993"/>
          <c:w val="0.9428063058020818"/>
          <c:h val="0.14556798179861541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505287178612"/>
          <c:y val="0.10799059896251624"/>
          <c:w val="0.75709943189145845"/>
          <c:h val="0.61447485538409474"/>
        </c:manualLayout>
      </c:layout>
      <c:barChart>
        <c:barDir val="col"/>
        <c:grouping val="clustered"/>
        <c:varyColors val="0"/>
        <c:ser>
          <c:idx val="0"/>
          <c:order val="0"/>
          <c:tx>
            <c:v>Prestations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'TCDC SA (Charges)'!$B$56:$G$56</c:f>
              <c:numCache>
                <c:formatCode>0.0</c:formatCode>
                <c:ptCount val="6"/>
                <c:pt idx="0">
                  <c:v>2.5516747345330595</c:v>
                </c:pt>
                <c:pt idx="1">
                  <c:v>-2.3335832518009929</c:v>
                </c:pt>
                <c:pt idx="2">
                  <c:v>-0.17047288808371364</c:v>
                </c:pt>
                <c:pt idx="3">
                  <c:v>2.155902633747687</c:v>
                </c:pt>
                <c:pt idx="4">
                  <c:v>2.3462127341199972</c:v>
                </c:pt>
                <c:pt idx="5">
                  <c:v>2.4446015967663466</c:v>
                </c:pt>
              </c:numCache>
            </c:numRef>
          </c:val>
        </c:ser>
        <c:ser>
          <c:idx val="1"/>
          <c:order val="1"/>
          <c:tx>
            <c:v>Charges techniques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'TCDC SA (Charges)'!$B$57:$G$57</c:f>
              <c:numCache>
                <c:formatCode>0.0</c:formatCode>
                <c:ptCount val="6"/>
                <c:pt idx="0">
                  <c:v>0.32269405785656613</c:v>
                </c:pt>
                <c:pt idx="1">
                  <c:v>-5.4610827144996712</c:v>
                </c:pt>
                <c:pt idx="2">
                  <c:v>-0.98394579958766304</c:v>
                </c:pt>
                <c:pt idx="3">
                  <c:v>-0.29654279169384135</c:v>
                </c:pt>
                <c:pt idx="4">
                  <c:v>5.9528592384991821E-2</c:v>
                </c:pt>
                <c:pt idx="5">
                  <c:v>5.8824455272124904E-2</c:v>
                </c:pt>
              </c:numCache>
            </c:numRef>
          </c:val>
        </c:ser>
        <c:ser>
          <c:idx val="2"/>
          <c:order val="2"/>
          <c:tx>
            <c:v>Charges financières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'TCDC SA (Charges)'!$B$58:$G$58</c:f>
              <c:numCache>
                <c:formatCode>0.0</c:formatCode>
                <c:ptCount val="6"/>
                <c:pt idx="0">
                  <c:v>-3.3436088708678955E-5</c:v>
                </c:pt>
                <c:pt idx="1">
                  <c:v>1.9097735242965466E-5</c:v>
                </c:pt>
                <c:pt idx="2">
                  <c:v>-1.3161254199409521E-5</c:v>
                </c:pt>
                <c:pt idx="3">
                  <c:v>5.0732378864704245E-5</c:v>
                </c:pt>
                <c:pt idx="4">
                  <c:v>5.1404078406178547E-5</c:v>
                </c:pt>
                <c:pt idx="5">
                  <c:v>5.1819625864068633E-5</c:v>
                </c:pt>
              </c:numCache>
            </c:numRef>
          </c:val>
        </c:ser>
        <c:ser>
          <c:idx val="3"/>
          <c:order val="3"/>
          <c:tx>
            <c:v>Charges exceptionnelles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'TCDC SA (Charges)'!$B$59:$G$59</c:f>
              <c:numCache>
                <c:formatCode>0.0</c:formatCode>
                <c:ptCount val="6"/>
                <c:pt idx="0">
                  <c:v>5.1492286837398708E-3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v>Dotations aux provisions</c:v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'TCDC SA (Charges)'!$B$60:$G$60</c:f>
              <c:numCache>
                <c:formatCode>0.0</c:formatCode>
                <c:ptCount val="6"/>
                <c:pt idx="0">
                  <c:v>0.29212930408823296</c:v>
                </c:pt>
                <c:pt idx="1">
                  <c:v>0.10774455702937943</c:v>
                </c:pt>
                <c:pt idx="2">
                  <c:v>0.16019520589313216</c:v>
                </c:pt>
                <c:pt idx="3">
                  <c:v>0.16604635974950271</c:v>
                </c:pt>
                <c:pt idx="4">
                  <c:v>0.13875686968397302</c:v>
                </c:pt>
                <c:pt idx="5">
                  <c:v>0.13575611437387619</c:v>
                </c:pt>
              </c:numCache>
            </c:numRef>
          </c:val>
        </c:ser>
        <c:ser>
          <c:idx val="6"/>
          <c:order val="5"/>
          <c:tx>
            <c:v>Charges de gestion courante</c:v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RETRAITE!$B$27:$G$27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'TCDC SA (Charges)'!$B$61:$G$61</c:f>
              <c:numCache>
                <c:formatCode>0.0</c:formatCode>
                <c:ptCount val="6"/>
                <c:pt idx="0">
                  <c:v>5.0243267782675224E-3</c:v>
                </c:pt>
                <c:pt idx="1">
                  <c:v>-6.6432919452385539E-2</c:v>
                </c:pt>
                <c:pt idx="2">
                  <c:v>-5.2524788110533793E-2</c:v>
                </c:pt>
                <c:pt idx="3">
                  <c:v>-5.8990375815737829E-2</c:v>
                </c:pt>
                <c:pt idx="4">
                  <c:v>-5.6548105488895675E-2</c:v>
                </c:pt>
                <c:pt idx="5">
                  <c:v>-5.3937689770124662E-2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43232"/>
        <c:axId val="564645192"/>
      </c:barChart>
      <c:lineChart>
        <c:grouping val="standard"/>
        <c:varyColors val="0"/>
        <c:ser>
          <c:idx val="5"/>
          <c:order val="6"/>
          <c:tx>
            <c:v>Evolution des dépenses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Lbls>
            <c:dLbl>
              <c:idx val="0"/>
              <c:layout>
                <c:manualLayout>
                  <c:x val="-6.5527227549520561E-2"/>
                  <c:y val="4.313984844803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024000339969401E-2"/>
                  <c:y val="1.148882974560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455857722804948E-2"/>
                  <c:y val="6.012162757268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71348625800472E-2"/>
                  <c:y val="6.940465775111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488236058754714E-2"/>
                  <c:y val="4.593803072971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583057524822764E-2"/>
                  <c:y val="4.5938030729711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'TCDC SA (Charges)'!$J$49:$O$49</c:f>
              <c:numCache>
                <c:formatCode>0.0%</c:formatCode>
                <c:ptCount val="6"/>
                <c:pt idx="0">
                  <c:v>3.1766382158511464E-2</c:v>
                </c:pt>
                <c:pt idx="1">
                  <c:v>-7.7533352309884229E-2</c:v>
                </c:pt>
                <c:pt idx="2">
                  <c:v>-1.046761431142984E-2</c:v>
                </c:pt>
                <c:pt idx="3">
                  <c:v>1.9664665583664753E-2</c:v>
                </c:pt>
                <c:pt idx="4">
                  <c:v>2.4880014947784579E-2</c:v>
                </c:pt>
                <c:pt idx="5">
                  <c:v>2.5852962962680914E-2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43624"/>
        <c:axId val="564642840"/>
      </c:lineChart>
      <c:catAx>
        <c:axId val="5646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64645192"/>
        <c:crosses val="autoZero"/>
        <c:auto val="1"/>
        <c:lblAlgn val="ctr"/>
        <c:lblOffset val="100"/>
        <c:noMultiLvlLbl val="0"/>
      </c:catAx>
      <c:valAx>
        <c:axId val="564645192"/>
        <c:scaling>
          <c:orientation val="minMax"/>
          <c:max val="4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80407124679E-2"/>
              <c:y val="7.04343536005367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64643232"/>
        <c:crosses val="autoZero"/>
        <c:crossBetween val="between"/>
        <c:majorUnit val="1"/>
      </c:valAx>
      <c:valAx>
        <c:axId val="564642840"/>
        <c:scaling>
          <c:orientation val="minMax"/>
          <c:max val="4.0000000000000008E-2"/>
          <c:min val="-9.0000000000000024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716274969445613"/>
              <c:y val="0.48186568784165135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564643624"/>
        <c:crosses val="max"/>
        <c:crossBetween val="between"/>
        <c:majorUnit val="1.0000000000000002E-2"/>
      </c:valAx>
      <c:catAx>
        <c:axId val="564643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6428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1.896293724088734E-2"/>
          <c:y val="0.78094959798476526"/>
          <c:w val="0.954740339710198"/>
          <c:h val="0.19463535388683076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cat>
            <c:strRef>
              <c:f>CHARGES_PRODUITS!$D$2:$I$2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CHARGES_PRODUITS!$C$39:$H$39</c:f>
              <c:numCache>
                <c:formatCode>#\ ##0.0</c:formatCode>
                <c:ptCount val="6"/>
                <c:pt idx="0">
                  <c:v>3.515164324814537</c:v>
                </c:pt>
                <c:pt idx="1">
                  <c:v>-7.9029492522639426</c:v>
                </c:pt>
                <c:pt idx="2">
                  <c:v>-1.8334872674022389</c:v>
                </c:pt>
                <c:pt idx="3">
                  <c:v>0.55681155383841541</c:v>
                </c:pt>
                <c:pt idx="4">
                  <c:v>0.76601274177901935</c:v>
                </c:pt>
                <c:pt idx="5">
                  <c:v>0.7981446681070764</c:v>
                </c:pt>
              </c:numCache>
            </c:numRef>
          </c:val>
        </c:ser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CHARGES_PRODUITS!$D$2:$I$2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CHARGES_PRODUITS!$C$40:$H$40</c:f>
              <c:numCache>
                <c:formatCode>#\ ##0.0</c:formatCode>
                <c:ptCount val="6"/>
                <c:pt idx="0">
                  <c:v>-0.21924035876974804</c:v>
                </c:pt>
                <c:pt idx="1">
                  <c:v>0.13691643713416385</c:v>
                </c:pt>
                <c:pt idx="2">
                  <c:v>6.4997145260913047E-2</c:v>
                </c:pt>
                <c:pt idx="3">
                  <c:v>7.8570873705642863E-2</c:v>
                </c:pt>
                <c:pt idx="4">
                  <c:v>6.4624979985662759E-2</c:v>
                </c:pt>
                <c:pt idx="5">
                  <c:v>6.4141173102842536E-2</c:v>
                </c:pt>
              </c:numCache>
            </c:numRef>
          </c:val>
        </c:ser>
        <c:ser>
          <c:idx val="2"/>
          <c:order val="2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CHARGES_PRODUITS!$D$2:$I$2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CHARGES_PRODUITS!$C$41:$H$41</c:f>
              <c:numCache>
                <c:formatCode>#\ ##0.0</c:formatCode>
                <c:ptCount val="6"/>
                <c:pt idx="0">
                  <c:v>1.8233979524306526E-2</c:v>
                </c:pt>
                <c:pt idx="1">
                  <c:v>-0.12900923849925711</c:v>
                </c:pt>
                <c:pt idx="2">
                  <c:v>-8.5534309563640408E-3</c:v>
                </c:pt>
                <c:pt idx="3">
                  <c:v>-3.0274201214754451E-2</c:v>
                </c:pt>
                <c:pt idx="4">
                  <c:v>-2.4105899894733128E-2</c:v>
                </c:pt>
                <c:pt idx="5">
                  <c:v>-2.251081000443177E-2</c:v>
                </c:pt>
              </c:numCache>
            </c:numRef>
          </c:val>
        </c:ser>
        <c:ser>
          <c:idx val="3"/>
          <c:order val="3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cat>
            <c:strRef>
              <c:f>CHARGES_PRODUITS!$D$2:$I$2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CHARGES_PRODUITS!$C$42:$H$42</c:f>
              <c:numCache>
                <c:formatCode>#\ ##0.0</c:formatCode>
                <c:ptCount val="6"/>
                <c:pt idx="0">
                  <c:v>-0.23532317174611408</c:v>
                </c:pt>
                <c:pt idx="1">
                  <c:v>0.14170682264059556</c:v>
                </c:pt>
                <c:pt idx="2">
                  <c:v>0.7302821219547212</c:v>
                </c:pt>
                <c:pt idx="3">
                  <c:v>1.3613583320371712</c:v>
                </c:pt>
                <c:pt idx="4">
                  <c:v>1.6814696729085126</c:v>
                </c:pt>
                <c:pt idx="5">
                  <c:v>1.7455212650625791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45976"/>
        <c:axId val="564644016"/>
      </c:barChart>
      <c:lineChart>
        <c:grouping val="standard"/>
        <c:varyColors val="0"/>
        <c:ser>
          <c:idx val="5"/>
          <c:order val="4"/>
          <c:tx>
            <c:v>Evolution des dépenses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Lbls>
            <c:dLbl>
              <c:idx val="0"/>
              <c:layout>
                <c:manualLayout>
                  <c:x val="-4.7669459748622627E-2"/>
                  <c:y val="-6.5951144213427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775060244577989E-4"/>
                  <c:y val="-8.71327170499587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1036256736894E-2"/>
                  <c:y val="-9.745419630821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766021057377E-4"/>
                  <c:y val="7.177282374204287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488236058754714E-2"/>
                  <c:y val="4.593803072971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646271835534803E-2"/>
                  <c:y val="4.1897704001366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CHARGES_PRODUITS!$C$22:$H$22</c:f>
              <c:numCache>
                <c:formatCode>0.0%</c:formatCode>
                <c:ptCount val="6"/>
                <c:pt idx="0">
                  <c:v>3.1766382158511464E-2</c:v>
                </c:pt>
                <c:pt idx="1">
                  <c:v>-7.7533352309884451E-2</c:v>
                </c:pt>
                <c:pt idx="2">
                  <c:v>-1.0467614311429618E-2</c:v>
                </c:pt>
                <c:pt idx="3">
                  <c:v>1.9664665583664753E-2</c:v>
                </c:pt>
                <c:pt idx="4">
                  <c:v>2.4880014947784579E-2</c:v>
                </c:pt>
                <c:pt idx="5">
                  <c:v>2.5852962962680692E-2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44800"/>
        <c:axId val="564644408"/>
      </c:lineChart>
      <c:catAx>
        <c:axId val="564645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64644016"/>
        <c:crosses val="autoZero"/>
        <c:auto val="1"/>
        <c:lblAlgn val="ctr"/>
        <c:lblOffset val="100"/>
        <c:noMultiLvlLbl val="0"/>
      </c:catAx>
      <c:valAx>
        <c:axId val="564644016"/>
        <c:scaling>
          <c:orientation val="minMax"/>
          <c:max val="5"/>
          <c:min val="-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2.3157915787579118E-2"/>
              <c:y val="0.2158888997410642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564645976"/>
        <c:crosses val="autoZero"/>
        <c:crossBetween val="between"/>
        <c:majorUnit val="1"/>
      </c:valAx>
      <c:valAx>
        <c:axId val="564644408"/>
        <c:scaling>
          <c:orientation val="minMax"/>
          <c:max val="6.0000000000000012E-2"/>
          <c:min val="-0.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71627241048306"/>
              <c:y val="0.32833044513467108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564644800"/>
        <c:crosses val="max"/>
        <c:crossBetween val="between"/>
        <c:minorUnit val="1.0000000000000002E-2"/>
      </c:valAx>
      <c:catAx>
        <c:axId val="56464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6444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</c:dPt>
          <c:cat>
            <c:strRef>
              <c:f>CHARGES_PRODUITS!$C$38:$H$38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CHARGES_PRODUITS!$C$44:$H$44</c:f>
              <c:numCache>
                <c:formatCode>#\ ##0.0</c:formatCode>
                <c:ptCount val="6"/>
                <c:pt idx="0">
                  <c:v>3.503357889582893</c:v>
                </c:pt>
                <c:pt idx="1">
                  <c:v>-7.8764054978717706</c:v>
                </c:pt>
                <c:pt idx="2">
                  <c:v>-1.829874133631995</c:v>
                </c:pt>
                <c:pt idx="3">
                  <c:v>0.55525552368910835</c:v>
                </c:pt>
                <c:pt idx="4">
                  <c:v>0.76378655548384478</c:v>
                </c:pt>
                <c:pt idx="5">
                  <c:v>0.79575474124952505</c:v>
                </c:pt>
              </c:numCache>
            </c:numRef>
          </c:val>
        </c:ser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CHARGES_PRODUITS!$C$38:$H$38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CHARGES_PRODUITS!$C$45:$H$45</c:f>
              <c:numCache>
                <c:formatCode>#\ ##0.0</c:formatCode>
                <c:ptCount val="6"/>
                <c:pt idx="0">
                  <c:v>-9.2925537065833744E-2</c:v>
                </c:pt>
                <c:pt idx="1">
                  <c:v>-1.7883272757035534E-2</c:v>
                </c:pt>
                <c:pt idx="2">
                  <c:v>0.14456247876579964</c:v>
                </c:pt>
                <c:pt idx="3">
                  <c:v>9.5265805657898883E-2</c:v>
                </c:pt>
                <c:pt idx="4">
                  <c:v>8.0729544125123232E-2</c:v>
                </c:pt>
                <c:pt idx="5">
                  <c:v>7.9870744917851691E-2</c:v>
                </c:pt>
              </c:numCache>
            </c:numRef>
          </c:val>
        </c:ser>
        <c:ser>
          <c:idx val="2"/>
          <c:order val="2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cat>
            <c:strRef>
              <c:f>CHARGES_PRODUITS!$C$38:$H$38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CHARGES_PRODUITS!$C$46:$H$46</c:f>
              <c:numCache>
                <c:formatCode>#\ ##0.0</c:formatCode>
                <c:ptCount val="6"/>
                <c:pt idx="0">
                  <c:v>1.8172736783320147E-2</c:v>
                </c:pt>
                <c:pt idx="1">
                  <c:v>-0.12857593323159858</c:v>
                </c:pt>
                <c:pt idx="2">
                  <c:v>-8.5365752678692314E-3</c:v>
                </c:pt>
                <c:pt idx="3">
                  <c:v>-3.0189598857795832E-2</c:v>
                </c:pt>
                <c:pt idx="4">
                  <c:v>-2.4035843326413783E-2</c:v>
                </c:pt>
                <c:pt idx="5">
                  <c:v>-2.2443404693634639E-2</c:v>
                </c:pt>
              </c:numCache>
            </c:numRef>
          </c:val>
        </c:ser>
        <c:ser>
          <c:idx val="3"/>
          <c:order val="3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</c:dPt>
          <c:cat>
            <c:strRef>
              <c:f>CHARGES_PRODUITS!$C$38:$H$38</c:f>
              <c:strCache>
                <c:ptCount val="6"/>
                <c:pt idx="0">
                  <c:v>2020</c:v>
                </c:pt>
                <c:pt idx="1">
                  <c:v>2021(p)</c:v>
                </c:pt>
                <c:pt idx="2">
                  <c:v>2022(p)</c:v>
                </c:pt>
                <c:pt idx="3">
                  <c:v>2023(p)</c:v>
                </c:pt>
                <c:pt idx="4">
                  <c:v>2024(p)</c:v>
                </c:pt>
                <c:pt idx="5">
                  <c:v>2025(p)</c:v>
                </c:pt>
              </c:strCache>
            </c:strRef>
          </c:cat>
          <c:val>
            <c:numRef>
              <c:f>CHARGES_PRODUITS!$C$47:$H$47</c:f>
              <c:numCache>
                <c:formatCode>#\ ##0.0</c:formatCode>
                <c:ptCount val="6"/>
                <c:pt idx="0">
                  <c:v>-0.23453278827355056</c:v>
                </c:pt>
                <c:pt idx="1">
                  <c:v>0.1412308698063249</c:v>
                </c:pt>
                <c:pt idx="2">
                  <c:v>0.72884300260900481</c:v>
                </c:pt>
                <c:pt idx="3">
                  <c:v>1.357553966639137</c:v>
                </c:pt>
                <c:pt idx="4">
                  <c:v>1.6765829856023886</c:v>
                </c:pt>
                <c:pt idx="5">
                  <c:v>1.7402945582780993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274568"/>
        <c:axId val="627275352"/>
      </c:barChart>
      <c:lineChart>
        <c:grouping val="standard"/>
        <c:varyColors val="0"/>
        <c:ser>
          <c:idx val="5"/>
          <c:order val="4"/>
          <c:tx>
            <c:v>Evolution des recettes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</c:dPt>
          <c:dLbls>
            <c:dLbl>
              <c:idx val="0"/>
              <c:layout>
                <c:manualLayout>
                  <c:x val="-2.7827495525402732E-2"/>
                  <c:y val="4.3139730171087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213643272105544E-2"/>
                  <c:y val="5.9973575129698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29429101380875E-2"/>
                  <c:y val="-6.1090571513379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7136257736804E-2"/>
                  <c:y val="-5.180750757734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488236058754714E-2"/>
                  <c:y val="-5.9112364873183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440825325720685E-2"/>
                  <c:y val="-5.507196211820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CHARGES_PRODUITS!$C$27:$H$27</c:f>
              <c:numCache>
                <c:formatCode>0.0%</c:formatCode>
                <c:ptCount val="6"/>
                <c:pt idx="0">
                  <c:v>3.2994594204593497E-2</c:v>
                </c:pt>
                <c:pt idx="1">
                  <c:v>-7.8816338340540804E-2</c:v>
                </c:pt>
                <c:pt idx="2">
                  <c:v>-9.6500522752506201E-3</c:v>
                </c:pt>
                <c:pt idx="3">
                  <c:v>1.9778856971283565E-2</c:v>
                </c:pt>
                <c:pt idx="4">
                  <c:v>2.4970632418849226E-2</c:v>
                </c:pt>
                <c:pt idx="5">
                  <c:v>2.5934766397518461E-2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76528"/>
        <c:axId val="627274960"/>
      </c:lineChart>
      <c:catAx>
        <c:axId val="627274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627275352"/>
        <c:crosses val="autoZero"/>
        <c:auto val="1"/>
        <c:lblAlgn val="ctr"/>
        <c:lblOffset val="100"/>
        <c:noMultiLvlLbl val="0"/>
      </c:catAx>
      <c:valAx>
        <c:axId val="627275352"/>
        <c:scaling>
          <c:orientation val="minMax"/>
          <c:max val="4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2.1173719365257127E-2"/>
              <c:y val="0.2360909135159743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627274568"/>
        <c:crosses val="autoZero"/>
        <c:crossBetween val="between"/>
        <c:majorUnit val="1"/>
      </c:valAx>
      <c:valAx>
        <c:axId val="627274960"/>
        <c:scaling>
          <c:orientation val="minMax"/>
          <c:max val="6.0000000000000012E-2"/>
          <c:min val="-0.1500000000000000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5311531337179656"/>
              <c:y val="0.3323708478896531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627276528"/>
        <c:crosses val="max"/>
        <c:crossBetween val="between"/>
        <c:majorUnit val="5.000000000000001E-2"/>
      </c:valAx>
      <c:catAx>
        <c:axId val="62727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2749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357187</xdr:colOff>
      <xdr:row>31</xdr:row>
      <xdr:rowOff>83346</xdr:rowOff>
    </xdr:from>
    <xdr:to>
      <xdr:col>17</xdr:col>
      <xdr:colOff>714375</xdr:colOff>
      <xdr:row>51</xdr:row>
      <xdr:rowOff>11906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37</xdr:row>
      <xdr:rowOff>27782</xdr:rowOff>
    </xdr:from>
    <xdr:to>
      <xdr:col>6</xdr:col>
      <xdr:colOff>619124</xdr:colOff>
      <xdr:row>58</xdr:row>
      <xdr:rowOff>130968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751417</xdr:colOff>
      <xdr:row>3</xdr:row>
      <xdr:rowOff>63500</xdr:rowOff>
    </xdr:from>
    <xdr:to>
      <xdr:col>19</xdr:col>
      <xdr:colOff>21167</xdr:colOff>
      <xdr:row>22</xdr:row>
      <xdr:rowOff>21166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16</xdr:col>
      <xdr:colOff>662222</xdr:colOff>
      <xdr:row>23</xdr:row>
      <xdr:rowOff>28574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16</xdr:col>
      <xdr:colOff>372280</xdr:colOff>
      <xdr:row>45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-1</xdr:rowOff>
    </xdr:from>
    <xdr:to>
      <xdr:col>6</xdr:col>
      <xdr:colOff>309339</xdr:colOff>
      <xdr:row>57</xdr:row>
      <xdr:rowOff>104776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52</xdr:row>
      <xdr:rowOff>0</xdr:rowOff>
    </xdr:from>
    <xdr:to>
      <xdr:col>20</xdr:col>
      <xdr:colOff>685576</xdr:colOff>
      <xdr:row>71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18</xdr:col>
      <xdr:colOff>304576</xdr:colOff>
      <xdr:row>20</xdr:row>
      <xdr:rowOff>95251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631032</xdr:colOff>
      <xdr:row>23</xdr:row>
      <xdr:rowOff>142875</xdr:rowOff>
    </xdr:from>
    <xdr:to>
      <xdr:col>18</xdr:col>
      <xdr:colOff>173608</xdr:colOff>
      <xdr:row>41</xdr:row>
      <xdr:rowOff>59533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42333</xdr:colOff>
      <xdr:row>45</xdr:row>
      <xdr:rowOff>127001</xdr:rowOff>
    </xdr:from>
    <xdr:to>
      <xdr:col>16</xdr:col>
      <xdr:colOff>710179</xdr:colOff>
      <xdr:row>62</xdr:row>
      <xdr:rowOff>146051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85725</xdr:rowOff>
    </xdr:from>
    <xdr:to>
      <xdr:col>17</xdr:col>
      <xdr:colOff>63500</xdr:colOff>
      <xdr:row>40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0_2021-2025/3%20-%20EFFECTIFS/1%20-%20JUILLET%202021/TCDC_PREVISIONS_EFFECTIFS_2021-2025_SA_juillet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0_2021-2025/2%20-%20MAQUETTES%20DONNEES/2%20-%20JUILLET/3_NJ/Vu_NJ/Maquette_Pr&#233;visions2021-2025_FAMILLE_SA_N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ANGES\MEFC_SDFT\TCDC\Pr&#233;visions_2021-2025\TCDC_PREVISIONS_2021-2025_SA%20%20CCSS%20Septembre%2020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1_TCDC/2021/5%20-%20Publications/ND%20-%20Donn&#233;es_Pr&#233;visions%20SA%202021%20&#224;%202025%20&#224;%20valid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1_REALISATIONS/2020/2%20-%20MAQUETTES/Maquette_R&#233;alisations2020_COTISATIONS%20SAvuMP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10">
          <cell r="H10">
            <v>1900888</v>
          </cell>
          <cell r="J10">
            <v>1914251</v>
          </cell>
          <cell r="L10">
            <v>1927652</v>
          </cell>
          <cell r="N10">
            <v>1935362</v>
          </cell>
          <cell r="P10">
            <v>1939234</v>
          </cell>
          <cell r="R10">
            <v>1941173</v>
          </cell>
          <cell r="T10">
            <v>1942143</v>
          </cell>
        </row>
        <row r="16">
          <cell r="H16">
            <v>2442126</v>
          </cell>
          <cell r="J16">
            <v>2396379</v>
          </cell>
          <cell r="L16">
            <v>2351319</v>
          </cell>
          <cell r="N16">
            <v>2307498</v>
          </cell>
          <cell r="P16">
            <v>2265106</v>
          </cell>
          <cell r="R16">
            <v>2224245</v>
          </cell>
          <cell r="T16">
            <v>2185021</v>
          </cell>
        </row>
        <row r="20">
          <cell r="H20">
            <v>29804</v>
          </cell>
          <cell r="J20">
            <v>29784</v>
          </cell>
          <cell r="L20">
            <v>29910.364653457746</v>
          </cell>
          <cell r="N20">
            <v>30136.215087452707</v>
          </cell>
          <cell r="P20">
            <v>30455.496412985245</v>
          </cell>
          <cell r="R20">
            <v>30872.331828135739</v>
          </cell>
          <cell r="T20">
            <v>31368.092510070175</v>
          </cell>
        </row>
        <row r="22">
          <cell r="H22">
            <v>702791.35812315706</v>
          </cell>
          <cell r="J22">
            <v>685102.42205866345</v>
          </cell>
          <cell r="L22">
            <v>689071.84831403068</v>
          </cell>
          <cell r="N22">
            <v>699790.45158869599</v>
          </cell>
          <cell r="P22">
            <v>707903.66761921288</v>
          </cell>
          <cell r="R22">
            <v>715032.43268589384</v>
          </cell>
          <cell r="T22">
            <v>721861.04149764508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raphiques"/>
      <sheetName val="COMMENTAIRES"/>
      <sheetName val="Famille SA - 1"/>
      <sheetName val="Famille SA - 2"/>
      <sheetName val="Famille SA - 3 "/>
      <sheetName val="Famille SA - 4"/>
      <sheetName val="Chiffrages des mesures 2021"/>
    </sheetNames>
    <sheetDataSet>
      <sheetData sheetId="0"/>
      <sheetData sheetId="1"/>
      <sheetData sheetId="2">
        <row r="15">
          <cell r="B15">
            <v>157729</v>
          </cell>
          <cell r="C15">
            <v>154451</v>
          </cell>
          <cell r="D15">
            <v>152792</v>
          </cell>
          <cell r="E15">
            <v>150384</v>
          </cell>
          <cell r="F15">
            <v>148391</v>
          </cell>
          <cell r="G15">
            <v>146238</v>
          </cell>
          <cell r="H15">
            <v>144208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die"/>
      <sheetName val="AT"/>
      <sheetName val="Famille"/>
      <sheetName val="Vieillesse"/>
      <sheetName val="SASPA"/>
      <sheetName val="Prev Cot Exo"/>
      <sheetName val="Solde Cot Exo"/>
      <sheetName val="Hypotheses"/>
      <sheetName val="allégts généraux 2020"/>
      <sheetName val="allégts généraux 2019"/>
      <sheetName val="PàR2020"/>
      <sheetName val="PàR2019"/>
      <sheetName val="PàR2018"/>
      <sheetName val="allégts généraux 2018"/>
      <sheetName val="allégts généraux 2017"/>
      <sheetName val="recettes"/>
      <sheetName val="compens"/>
      <sheetName val="Contribution RG"/>
      <sheetName val="Synthese"/>
      <sheetName val="Soldes Tech Gest"/>
      <sheetName val="Resultat NSA+SA"/>
      <sheetName val="Commentaire"/>
      <sheetName val="CPSS"/>
    </sheetNames>
    <sheetDataSet>
      <sheetData sheetId="0">
        <row r="6">
          <cell r="H6">
            <v>6324.7866769600014</v>
          </cell>
          <cell r="I6">
            <v>6860.9779221400004</v>
          </cell>
          <cell r="R6">
            <v>5655.4888443600257</v>
          </cell>
          <cell r="W6">
            <v>5397.4989718080587</v>
          </cell>
          <cell r="AB6">
            <v>5475.0277626041907</v>
          </cell>
          <cell r="AG6">
            <v>5583.7824879056579</v>
          </cell>
          <cell r="AL6">
            <v>5699.9184663810029</v>
          </cell>
        </row>
        <row r="10">
          <cell r="G10">
            <v>4688.0519999899998</v>
          </cell>
          <cell r="H10">
            <v>4809.1937053800002</v>
          </cell>
          <cell r="I10">
            <v>5090.9179437599996</v>
          </cell>
          <cell r="R10">
            <v>4594.9790808214684</v>
          </cell>
          <cell r="W10">
            <v>4369.2245346183709</v>
          </cell>
          <cell r="AB10">
            <v>4430.6768678667586</v>
          </cell>
          <cell r="AG10">
            <v>4524.9102270591193</v>
          </cell>
          <cell r="AL10">
            <v>4626.0448227483103</v>
          </cell>
        </row>
        <row r="11">
          <cell r="H11">
            <v>4783.2792869599998</v>
          </cell>
          <cell r="I11">
            <v>5065.4779986799995</v>
          </cell>
          <cell r="R11">
            <v>4572.0857003596229</v>
          </cell>
          <cell r="W11">
            <v>4344.4189483819655</v>
          </cell>
          <cell r="AB11">
            <v>4407.8434192380246</v>
          </cell>
          <cell r="AG11">
            <v>4500.1808180819626</v>
          </cell>
          <cell r="AL11">
            <v>4603.6165514714985</v>
          </cell>
        </row>
        <row r="68">
          <cell r="G68">
            <v>914.03073057000006</v>
          </cell>
          <cell r="H68">
            <v>813.44403063999994</v>
          </cell>
          <cell r="I68">
            <v>1032.1486344100001</v>
          </cell>
          <cell r="R68">
            <v>310.15306735347588</v>
          </cell>
          <cell r="W68">
            <v>275.32312563887041</v>
          </cell>
          <cell r="AB68">
            <v>281.93797108973718</v>
          </cell>
          <cell r="AG68">
            <v>288.70169468760361</v>
          </cell>
          <cell r="AL68">
            <v>295.63282954596076</v>
          </cell>
        </row>
        <row r="87">
          <cell r="G87">
            <v>11.616517629999999</v>
          </cell>
          <cell r="H87">
            <v>11.51729802</v>
          </cell>
          <cell r="I87">
            <v>12.08966317</v>
          </cell>
          <cell r="R87">
            <v>12.04385945460448</v>
          </cell>
          <cell r="W87">
            <v>12.79417087056923</v>
          </cell>
          <cell r="AB87">
            <v>13.34415215159869</v>
          </cell>
          <cell r="AG87">
            <v>13.674731782775378</v>
          </cell>
          <cell r="AL87">
            <v>13.976864070203661</v>
          </cell>
        </row>
        <row r="99">
          <cell r="G99">
            <v>356.13256165999996</v>
          </cell>
          <cell r="H99">
            <v>364.22545187000003</v>
          </cell>
          <cell r="I99">
            <v>406.35925606999996</v>
          </cell>
          <cell r="R99">
            <v>423.63532309688054</v>
          </cell>
          <cell r="W99">
            <v>428.95772413525953</v>
          </cell>
          <cell r="AB99">
            <v>441.73757456642187</v>
          </cell>
          <cell r="AG99">
            <v>452.94521671261913</v>
          </cell>
          <cell r="AL99">
            <v>464.40869264039992</v>
          </cell>
        </row>
        <row r="128">
          <cell r="G128">
            <v>0.72655527999999991</v>
          </cell>
          <cell r="H128">
            <v>0.50093024999999991</v>
          </cell>
          <cell r="I128">
            <v>0.33524759000000004</v>
          </cell>
          <cell r="R128">
            <v>0.3372646313468658</v>
          </cell>
          <cell r="W128">
            <v>0.33598235721009673</v>
          </cell>
          <cell r="AB128">
            <v>0.34087337052373257</v>
          </cell>
          <cell r="AG128">
            <v>0.34592659469959314</v>
          </cell>
          <cell r="AL128">
            <v>0.35114740947437845</v>
          </cell>
        </row>
        <row r="134">
          <cell r="G134">
            <v>320.17435343</v>
          </cell>
          <cell r="H134">
            <v>324.43504639000002</v>
          </cell>
          <cell r="I134">
            <v>317.35087403</v>
          </cell>
          <cell r="R134">
            <v>312.56394589224891</v>
          </cell>
          <cell r="W134">
            <v>309.0871310777772</v>
          </cell>
          <cell r="AB134">
            <v>305.21402044914936</v>
          </cell>
          <cell r="AG134">
            <v>301.42838795884023</v>
          </cell>
          <cell r="AL134">
            <v>297.72780685665361</v>
          </cell>
        </row>
        <row r="141">
          <cell r="G141">
            <v>0.85241372999999998</v>
          </cell>
          <cell r="H141">
            <v>1.4702144100000001</v>
          </cell>
          <cell r="I141">
            <v>1.7763031099999997</v>
          </cell>
          <cell r="R141">
            <v>1.7763031099999997</v>
          </cell>
          <cell r="W141">
            <v>1.7763031099999997</v>
          </cell>
          <cell r="AB141">
            <v>1.7763031099999997</v>
          </cell>
          <cell r="AG141">
            <v>1.7763031099999997</v>
          </cell>
          <cell r="AL141">
            <v>1.7763031099999997</v>
          </cell>
        </row>
        <row r="149">
          <cell r="H149">
            <v>6324.7866769599996</v>
          </cell>
          <cell r="I149">
            <v>6860.9779221400004</v>
          </cell>
          <cell r="R149">
            <v>5655.4888443600275</v>
          </cell>
          <cell r="W149">
            <v>5397.4989718080597</v>
          </cell>
          <cell r="AB149">
            <v>5475.0277626041916</v>
          </cell>
          <cell r="AG149">
            <v>5583.7824879056589</v>
          </cell>
          <cell r="AL149">
            <v>5699.9184663810038</v>
          </cell>
        </row>
        <row r="154">
          <cell r="H154">
            <v>1676.6181447299998</v>
          </cell>
          <cell r="I154">
            <v>1381.3024069000001</v>
          </cell>
          <cell r="R154">
            <v>1362.0020392014728</v>
          </cell>
          <cell r="W154">
            <v>1463.1568431127841</v>
          </cell>
          <cell r="AB154">
            <v>1533.1966821918827</v>
          </cell>
          <cell r="AG154">
            <v>1573.4466016083563</v>
          </cell>
          <cell r="AL154">
            <v>1609.583309078123</v>
          </cell>
        </row>
        <row r="171">
          <cell r="H171">
            <v>144.41515444999999</v>
          </cell>
          <cell r="I171">
            <v>242.56274143000002</v>
          </cell>
          <cell r="R171">
            <v>187.84500828644178</v>
          </cell>
          <cell r="W171">
            <v>134.22442084724844</v>
          </cell>
          <cell r="AB171">
            <v>24.101226530321089</v>
          </cell>
          <cell r="AG171">
            <v>24.626988344039376</v>
          </cell>
          <cell r="AL171">
            <v>25.109595429320422</v>
          </cell>
        </row>
        <row r="190">
          <cell r="H190">
            <v>1366.74599455</v>
          </cell>
          <cell r="I190">
            <v>1368.8104355800001</v>
          </cell>
          <cell r="R190">
            <v>998.96209542993313</v>
          </cell>
          <cell r="W190">
            <v>1029.5353758151186</v>
          </cell>
          <cell r="AB190">
            <v>1059.0465876387032</v>
          </cell>
          <cell r="AG190">
            <v>1086.8383966747392</v>
          </cell>
          <cell r="AL190">
            <v>1111.8158698535597</v>
          </cell>
        </row>
        <row r="195">
          <cell r="H195">
            <v>0</v>
          </cell>
          <cell r="I195">
            <v>0</v>
          </cell>
          <cell r="R195">
            <v>0</v>
          </cell>
          <cell r="W195">
            <v>0</v>
          </cell>
          <cell r="AB195">
            <v>0</v>
          </cell>
          <cell r="AG195">
            <v>0</v>
          </cell>
          <cell r="AL195">
            <v>0</v>
          </cell>
        </row>
        <row r="251">
          <cell r="H251">
            <v>2049.2379871600001</v>
          </cell>
          <cell r="I251">
            <v>2672.4198642800002</v>
          </cell>
          <cell r="R251">
            <v>2618.096156450978</v>
          </cell>
          <cell r="W251">
            <v>2253.0437059447399</v>
          </cell>
          <cell r="AB251">
            <v>2335.4422738254366</v>
          </cell>
          <cell r="AG251">
            <v>2361.0097034397477</v>
          </cell>
          <cell r="AL251">
            <v>2402.1664630491841</v>
          </cell>
        </row>
        <row r="267">
          <cell r="H267">
            <v>340.83181102000003</v>
          </cell>
          <cell r="I267">
            <v>357.59730421</v>
          </cell>
          <cell r="R267">
            <v>395.29473443347212</v>
          </cell>
          <cell r="W267">
            <v>419.83690379210736</v>
          </cell>
          <cell r="AB267">
            <v>425.17495137969644</v>
          </cell>
          <cell r="AG267">
            <v>439.56754057235332</v>
          </cell>
          <cell r="AL267">
            <v>452.87587498363843</v>
          </cell>
        </row>
      </sheetData>
      <sheetData sheetId="1">
        <row r="6">
          <cell r="H6">
            <v>735.46909385999993</v>
          </cell>
          <cell r="I6">
            <v>702.02691303999995</v>
          </cell>
          <cell r="R6">
            <v>722.91168203766256</v>
          </cell>
          <cell r="W6">
            <v>732.0574260633972</v>
          </cell>
          <cell r="AB6">
            <v>742.99740169465338</v>
          </cell>
          <cell r="AG6">
            <v>752.17253882048078</v>
          </cell>
          <cell r="AL6">
            <v>761.50555599958659</v>
          </cell>
        </row>
        <row r="10">
          <cell r="G10">
            <v>541.66042110000012</v>
          </cell>
          <cell r="H10">
            <v>559.01302891000012</v>
          </cell>
          <cell r="I10">
            <v>551.07181614000001</v>
          </cell>
          <cell r="R10">
            <v>569.76629590138236</v>
          </cell>
          <cell r="W10">
            <v>574.69365891863902</v>
          </cell>
          <cell r="AB10">
            <v>582.36924874870022</v>
          </cell>
          <cell r="AG10">
            <v>589.90534225643682</v>
          </cell>
          <cell r="AL10">
            <v>597.30585774839324</v>
          </cell>
        </row>
        <row r="11">
          <cell r="H11">
            <v>547.48803640000006</v>
          </cell>
          <cell r="I11">
            <v>541.11060888999998</v>
          </cell>
          <cell r="R11">
            <v>559.4943245920673</v>
          </cell>
          <cell r="W11">
            <v>564.33385321743322</v>
          </cell>
          <cell r="AB11">
            <v>571.88531478779919</v>
          </cell>
          <cell r="AG11">
            <v>579.29795106704705</v>
          </cell>
          <cell r="AL11">
            <v>586.57578457457043</v>
          </cell>
        </row>
        <row r="37">
          <cell r="G37">
            <v>7.5270070100000002</v>
          </cell>
          <cell r="H37">
            <v>6.8334132799999994</v>
          </cell>
          <cell r="I37">
            <v>6.8692879799999993</v>
          </cell>
          <cell r="R37">
            <v>7.5820783637240545</v>
          </cell>
          <cell r="W37">
            <v>8.2794630074481095</v>
          </cell>
          <cell r="AB37">
            <v>8.976847651172168</v>
          </cell>
          <cell r="AG37">
            <v>9.6742322948962247</v>
          </cell>
          <cell r="AL37">
            <v>10.37161693862028</v>
          </cell>
        </row>
        <row r="43">
          <cell r="G43">
            <v>4.5593331700000004</v>
          </cell>
          <cell r="H43">
            <v>24.959690270000003</v>
          </cell>
          <cell r="I43">
            <v>3.1759518799999999</v>
          </cell>
          <cell r="R43">
            <v>4.3517197849279707</v>
          </cell>
          <cell r="W43">
            <v>4.6315557856052294</v>
          </cell>
          <cell r="AB43">
            <v>4.8267600369606409</v>
          </cell>
          <cell r="AG43">
            <v>4.9016498274299387</v>
          </cell>
          <cell r="AL43">
            <v>4.9976492692270913</v>
          </cell>
        </row>
        <row r="55">
          <cell r="G55">
            <v>87.839929530000006</v>
          </cell>
          <cell r="H55">
            <v>91.39504912000001</v>
          </cell>
          <cell r="I55">
            <v>88.542911910000001</v>
          </cell>
          <cell r="R55">
            <v>89.533234391008662</v>
          </cell>
          <cell r="W55">
            <v>93.339449505143534</v>
          </cell>
          <cell r="AB55">
            <v>96.299388196124482</v>
          </cell>
          <cell r="AG55">
            <v>97.741630090166893</v>
          </cell>
          <cell r="AL55">
            <v>99.443896499556502</v>
          </cell>
        </row>
        <row r="74">
          <cell r="G74">
            <v>1.30577506</v>
          </cell>
          <cell r="H74">
            <v>0.23859891</v>
          </cell>
          <cell r="I74">
            <v>0.54995190999999999</v>
          </cell>
          <cell r="R74">
            <v>0.54995190999999999</v>
          </cell>
          <cell r="W74">
            <v>0.54995190999999999</v>
          </cell>
          <cell r="AB74">
            <v>0.54995190999999999</v>
          </cell>
          <cell r="AG74">
            <v>0.54995190999999999</v>
          </cell>
          <cell r="AL74">
            <v>0.54995190999999999</v>
          </cell>
        </row>
        <row r="80">
          <cell r="G80">
            <v>54.057931779999997</v>
          </cell>
          <cell r="H80">
            <v>52.858863759999998</v>
          </cell>
          <cell r="I80">
            <v>51.616929500000005</v>
          </cell>
          <cell r="R80">
            <v>50.928337966619594</v>
          </cell>
          <cell r="W80">
            <v>50.363283216561229</v>
          </cell>
          <cell r="AB80">
            <v>49.775141431695801</v>
          </cell>
          <cell r="AG80">
            <v>49.199668721550822</v>
          </cell>
          <cell r="AL80">
            <v>48.636519913789414</v>
          </cell>
        </row>
        <row r="86">
          <cell r="G86">
            <v>6.2722400300000007</v>
          </cell>
          <cell r="H86">
            <v>0.17044961</v>
          </cell>
          <cell r="I86">
            <v>0.20006372</v>
          </cell>
          <cell r="R86">
            <v>0.20006372</v>
          </cell>
          <cell r="W86">
            <v>0.20006372</v>
          </cell>
          <cell r="AB86">
            <v>0.20006372</v>
          </cell>
          <cell r="AG86">
            <v>0.20006372</v>
          </cell>
          <cell r="AL86">
            <v>0.20006372</v>
          </cell>
        </row>
        <row r="94">
          <cell r="H94">
            <v>767.65458391999994</v>
          </cell>
          <cell r="I94">
            <v>753.43226892999985</v>
          </cell>
          <cell r="R94">
            <v>750.69522219092687</v>
          </cell>
          <cell r="W94">
            <v>771.07676362435848</v>
          </cell>
          <cell r="AB94">
            <v>784.37846419602454</v>
          </cell>
          <cell r="AG94">
            <v>795.87345495228192</v>
          </cell>
          <cell r="AL94">
            <v>807.53014592973568</v>
          </cell>
        </row>
        <row r="99">
          <cell r="H99">
            <v>493.31447027000013</v>
          </cell>
          <cell r="I99">
            <v>482.45909730999983</v>
          </cell>
          <cell r="R99">
            <v>481.89367105615219</v>
          </cell>
          <cell r="W99">
            <v>508.40510200771001</v>
          </cell>
          <cell r="AB99">
            <v>528.67272161242761</v>
          </cell>
          <cell r="AG99">
            <v>536.52273004600022</v>
          </cell>
          <cell r="AL99">
            <v>546.2467914634326</v>
          </cell>
        </row>
        <row r="108">
          <cell r="H108">
            <v>19.77016519</v>
          </cell>
          <cell r="I108">
            <v>20.061831760000004</v>
          </cell>
          <cell r="R108">
            <v>23.192242922451491</v>
          </cell>
          <cell r="W108">
            <v>21.396500162666847</v>
          </cell>
          <cell r="AB108">
            <v>9.9807552017490959</v>
          </cell>
          <cell r="AG108">
            <v>10.244967248903221</v>
          </cell>
          <cell r="AL108">
            <v>10.483090917291454</v>
          </cell>
        </row>
        <row r="139">
          <cell r="H139">
            <v>0</v>
          </cell>
          <cell r="I139">
            <v>12.164656880000001</v>
          </cell>
          <cell r="R139">
            <v>14</v>
          </cell>
          <cell r="W139">
            <v>14</v>
          </cell>
          <cell r="AB139">
            <v>14.418497982559202</v>
          </cell>
          <cell r="AG139">
            <v>14.82798155878719</v>
          </cell>
          <cell r="AL139">
            <v>15.268605065187176</v>
          </cell>
        </row>
        <row r="219">
          <cell r="H219">
            <v>87.789099059999998</v>
          </cell>
          <cell r="I219">
            <v>91.952294359999996</v>
          </cell>
          <cell r="R219">
            <v>89.599535850000009</v>
          </cell>
          <cell r="W219">
            <v>90.582950775887085</v>
          </cell>
          <cell r="AB219">
            <v>94.393161853327882</v>
          </cell>
          <cell r="AG219">
            <v>97.312086035027633</v>
          </cell>
          <cell r="AL219">
            <v>98.745499069047654</v>
          </cell>
        </row>
      </sheetData>
      <sheetData sheetId="2">
        <row r="6">
          <cell r="H6">
            <v>983.68814884999995</v>
          </cell>
          <cell r="I6">
            <v>986.46949825000002</v>
          </cell>
          <cell r="R6">
            <v>966.79086651653483</v>
          </cell>
          <cell r="W6">
            <v>965.58731381041707</v>
          </cell>
          <cell r="AB6">
            <v>961.37202374267565</v>
          </cell>
          <cell r="AG6">
            <v>957.94958651910179</v>
          </cell>
          <cell r="AL6">
            <v>954.67409643490748</v>
          </cell>
        </row>
        <row r="10">
          <cell r="G10">
            <v>733.69353244000001</v>
          </cell>
          <cell r="H10">
            <v>730.21497841000007</v>
          </cell>
          <cell r="I10">
            <v>713.82187131000001</v>
          </cell>
          <cell r="R10">
            <v>699.65146672901835</v>
          </cell>
          <cell r="W10">
            <v>695.80008634400212</v>
          </cell>
          <cell r="AB10">
            <v>692.37224235852113</v>
          </cell>
          <cell r="AG10">
            <v>689.74114086630686</v>
          </cell>
          <cell r="AL10">
            <v>687.34563368654187</v>
          </cell>
        </row>
        <row r="11">
          <cell r="H11">
            <v>667.0102851800001</v>
          </cell>
          <cell r="I11">
            <v>653.26122299999997</v>
          </cell>
          <cell r="R11">
            <v>639.07573271093622</v>
          </cell>
          <cell r="W11">
            <v>635.27316872056565</v>
          </cell>
          <cell r="AB11">
            <v>631.84537850882566</v>
          </cell>
          <cell r="AG11">
            <v>629.21433079030419</v>
          </cell>
          <cell r="AL11">
            <v>626.81887738418368</v>
          </cell>
        </row>
        <row r="52">
          <cell r="G52">
            <v>0.624</v>
          </cell>
          <cell r="H52">
            <v>0.621</v>
          </cell>
          <cell r="I52">
            <v>0.61399999999999999</v>
          </cell>
          <cell r="R52">
            <v>0.60707890499194839</v>
          </cell>
          <cell r="W52">
            <v>0.60023582554759469</v>
          </cell>
          <cell r="AB52">
            <v>0.59346988226444952</v>
          </cell>
          <cell r="AG52">
            <v>0.58678020565277289</v>
          </cell>
          <cell r="AL52">
            <v>0.58016593602383659</v>
          </cell>
        </row>
        <row r="56">
          <cell r="G56">
            <v>5.3857913699999997</v>
          </cell>
          <cell r="H56">
            <v>5.6228449600000001</v>
          </cell>
          <cell r="I56">
            <v>5.8455808700000009</v>
          </cell>
          <cell r="R56">
            <v>5.6308432921424378</v>
          </cell>
          <cell r="W56">
            <v>6.15756125049628</v>
          </cell>
          <cell r="AB56">
            <v>6.3354848954292979</v>
          </cell>
          <cell r="AG56">
            <v>6.5029532094013227</v>
          </cell>
          <cell r="AL56">
            <v>6.654101283959144</v>
          </cell>
        </row>
        <row r="61">
          <cell r="G61">
            <v>77.506083009999998</v>
          </cell>
          <cell r="H61">
            <v>78.128998980000006</v>
          </cell>
          <cell r="I61">
            <v>82.129702340000009</v>
          </cell>
          <cell r="R61">
            <v>79.624833510359025</v>
          </cell>
          <cell r="W61">
            <v>83.754193575256835</v>
          </cell>
          <cell r="AB61">
            <v>85.037203059909586</v>
          </cell>
          <cell r="AG61">
            <v>86.275893122289887</v>
          </cell>
          <cell r="AL61">
            <v>87.392783342721643</v>
          </cell>
        </row>
        <row r="68">
          <cell r="G68">
            <v>0.43593316999999998</v>
          </cell>
          <cell r="H68">
            <v>0.29483323</v>
          </cell>
          <cell r="I68">
            <v>0.22142157000000001</v>
          </cell>
          <cell r="R68">
            <v>0.22142157000000001</v>
          </cell>
          <cell r="W68">
            <v>0.22142157000000001</v>
          </cell>
          <cell r="AB68">
            <v>0.22142157000000001</v>
          </cell>
          <cell r="AG68">
            <v>0.22142157000000001</v>
          </cell>
          <cell r="AL68">
            <v>0.22142157000000001</v>
          </cell>
        </row>
        <row r="72">
          <cell r="G72">
            <v>167.28169251999998</v>
          </cell>
          <cell r="H72">
            <v>167.94094285</v>
          </cell>
          <cell r="I72">
            <v>182.66916549999999</v>
          </cell>
          <cell r="R72">
            <v>179.88746585002306</v>
          </cell>
          <cell r="W72">
            <v>177.88605858511426</v>
          </cell>
          <cell r="AB72">
            <v>175.64444531655116</v>
          </cell>
          <cell r="AG72">
            <v>173.45364088545099</v>
          </cell>
          <cell r="AL72">
            <v>171.31223395566104</v>
          </cell>
        </row>
        <row r="79">
          <cell r="G79">
            <v>0.50997475999999997</v>
          </cell>
          <cell r="H79">
            <v>0.86455042000000004</v>
          </cell>
          <cell r="I79">
            <v>1.1677566599999998</v>
          </cell>
          <cell r="R79">
            <v>1.1677566599999998</v>
          </cell>
          <cell r="W79">
            <v>1.1677566599999998</v>
          </cell>
          <cell r="AB79">
            <v>1.1677566599999998</v>
          </cell>
          <cell r="AG79">
            <v>1.1677566599999998</v>
          </cell>
          <cell r="AL79">
            <v>1.1677566599999998</v>
          </cell>
        </row>
        <row r="87">
          <cell r="H87">
            <v>983.68814884999995</v>
          </cell>
          <cell r="I87">
            <v>986.46949825000002</v>
          </cell>
          <cell r="R87">
            <v>966.79086651653483</v>
          </cell>
          <cell r="W87">
            <v>965.58731381041696</v>
          </cell>
          <cell r="AB87">
            <v>961.37202374267565</v>
          </cell>
          <cell r="AG87">
            <v>957.94958651910167</v>
          </cell>
          <cell r="AL87">
            <v>954.67409643490737</v>
          </cell>
        </row>
        <row r="92">
          <cell r="H92">
            <v>629.38121721999994</v>
          </cell>
          <cell r="I92">
            <v>621.82517428000006</v>
          </cell>
          <cell r="R92">
            <v>598.08749973164481</v>
          </cell>
          <cell r="W92">
            <v>654.03354731837226</v>
          </cell>
          <cell r="AB92">
            <v>672.93194360115012</v>
          </cell>
          <cell r="AG92">
            <v>690.71981301807591</v>
          </cell>
          <cell r="AL92">
            <v>706.77420652742614</v>
          </cell>
        </row>
        <row r="103">
          <cell r="H103">
            <v>66.702619279999993</v>
          </cell>
          <cell r="I103">
            <v>68.938426239999998</v>
          </cell>
          <cell r="R103">
            <v>81.424994193747111</v>
          </cell>
          <cell r="W103">
            <v>69.230512154379326</v>
          </cell>
          <cell r="AB103">
            <v>12.872717918312356</v>
          </cell>
          <cell r="AG103">
            <v>13.168358922124687</v>
          </cell>
          <cell r="AL103">
            <v>13.439410105350207</v>
          </cell>
        </row>
        <row r="122">
          <cell r="H122">
            <v>0</v>
          </cell>
          <cell r="I122">
            <v>0</v>
          </cell>
          <cell r="R122">
            <v>0</v>
          </cell>
          <cell r="W122">
            <v>0</v>
          </cell>
          <cell r="AB122">
            <v>0</v>
          </cell>
          <cell r="AG122">
            <v>0</v>
          </cell>
          <cell r="AL122">
            <v>0</v>
          </cell>
        </row>
        <row r="171">
          <cell r="H171">
            <v>178.73434868999999</v>
          </cell>
          <cell r="I171">
            <v>193.54892878000001</v>
          </cell>
          <cell r="R171">
            <v>181.64469613303035</v>
          </cell>
          <cell r="W171">
            <v>139.56898527171535</v>
          </cell>
          <cell r="AB171">
            <v>168.85283261887326</v>
          </cell>
          <cell r="AG171">
            <v>146.24819423001372</v>
          </cell>
          <cell r="AL171">
            <v>125.58120604627311</v>
          </cell>
        </row>
        <row r="180">
          <cell r="H180">
            <v>77.506083009999998</v>
          </cell>
          <cell r="I180">
            <v>78.128998980000006</v>
          </cell>
          <cell r="R180">
            <v>82.129702340000009</v>
          </cell>
          <cell r="W180">
            <v>79.624833510359025</v>
          </cell>
          <cell r="AB180">
            <v>83.754193575256835</v>
          </cell>
          <cell r="AG180">
            <v>85.037203059909586</v>
          </cell>
          <cell r="AL180">
            <v>86.275893122289887</v>
          </cell>
        </row>
      </sheetData>
      <sheetData sheetId="3">
        <row r="6">
          <cell r="H6">
            <v>6740.081936550001</v>
          </cell>
          <cell r="I6">
            <v>6704.1865379800029</v>
          </cell>
          <cell r="R6">
            <v>6725.8020161372497</v>
          </cell>
          <cell r="W6">
            <v>6828.5599653849795</v>
          </cell>
          <cell r="AB6">
            <v>7018.1114655208958</v>
          </cell>
          <cell r="AG6">
            <v>7256.838267839109</v>
          </cell>
          <cell r="AL6">
            <v>7510.8245790530164</v>
          </cell>
        </row>
        <row r="10">
          <cell r="G10">
            <v>5869.5364848300014</v>
          </cell>
          <cell r="H10">
            <v>5985.301875000001</v>
          </cell>
          <cell r="I10">
            <v>6105.1522090100025</v>
          </cell>
          <cell r="R10">
            <v>6240.6101213863867</v>
          </cell>
          <cell r="W10">
            <v>6441.3014561107639</v>
          </cell>
          <cell r="AB10">
            <v>6675.7828713069039</v>
          </cell>
          <cell r="AG10">
            <v>6909.7482760566891</v>
          </cell>
          <cell r="AL10">
            <v>7159.3163648676591</v>
          </cell>
        </row>
        <row r="11">
          <cell r="H11">
            <v>5976.9863220700008</v>
          </cell>
          <cell r="I11">
            <v>6097.3565332900025</v>
          </cell>
          <cell r="R11">
            <v>6232.8144394015862</v>
          </cell>
          <cell r="W11">
            <v>6433.5058186363622</v>
          </cell>
          <cell r="AB11">
            <v>6667.9872408298043</v>
          </cell>
          <cell r="AG11">
            <v>6901.9526525768861</v>
          </cell>
          <cell r="AL11">
            <v>7151.5207483851455</v>
          </cell>
        </row>
        <row r="53">
          <cell r="G53">
            <v>367.29736822000001</v>
          </cell>
          <cell r="H53">
            <v>420.59847943</v>
          </cell>
          <cell r="I53">
            <v>269.25585328</v>
          </cell>
          <cell r="R53">
            <v>156.57905949060972</v>
          </cell>
          <cell r="W53">
            <v>49.967225054257369</v>
          </cell>
          <cell r="AB53">
            <v>0</v>
          </cell>
          <cell r="AG53">
            <v>0</v>
          </cell>
          <cell r="AL53">
            <v>0</v>
          </cell>
        </row>
        <row r="54">
          <cell r="H54">
            <v>412.52297499000002</v>
          </cell>
          <cell r="I54">
            <v>248.57770237</v>
          </cell>
          <cell r="R54">
            <v>156.57905949060972</v>
          </cell>
          <cell r="W54">
            <v>49.967225054257369</v>
          </cell>
        </row>
        <row r="59">
          <cell r="G59">
            <v>14.23222123</v>
          </cell>
          <cell r="H59">
            <v>13.216729059999999</v>
          </cell>
          <cell r="I59">
            <v>14.52168702</v>
          </cell>
          <cell r="R59">
            <v>14.557914788552326</v>
          </cell>
          <cell r="W59">
            <v>15.301335391615776</v>
          </cell>
          <cell r="AB59">
            <v>15.750247526095423</v>
          </cell>
          <cell r="AG59">
            <v>16.174468280701788</v>
          </cell>
          <cell r="AL59">
            <v>16.56267848231159</v>
          </cell>
        </row>
        <row r="71">
          <cell r="G71">
            <v>182.80195420999999</v>
          </cell>
          <cell r="H71">
            <v>191.43262465999999</v>
          </cell>
          <cell r="I71">
            <v>191.33872616000002</v>
          </cell>
          <cell r="R71">
            <v>192.01219481841611</v>
          </cell>
          <cell r="W71">
            <v>201.29527546384347</v>
          </cell>
          <cell r="AB71">
            <v>207.39227995512465</v>
          </cell>
          <cell r="AG71">
            <v>213.20372443329916</v>
          </cell>
          <cell r="AL71">
            <v>218.67461502359066</v>
          </cell>
        </row>
        <row r="83">
          <cell r="G83">
            <v>0.34804565000000004</v>
          </cell>
          <cell r="H83">
            <v>0.22613424999999998</v>
          </cell>
          <cell r="I83">
            <v>0.14893236999999998</v>
          </cell>
          <cell r="R83">
            <v>0.14982843242121593</v>
          </cell>
          <cell r="W83">
            <v>0.14925878734703771</v>
          </cell>
          <cell r="AB83">
            <v>0.15143160013484988</v>
          </cell>
          <cell r="AG83">
            <v>0.15367647443899063</v>
          </cell>
          <cell r="AL83">
            <v>0.15599580018562603</v>
          </cell>
        </row>
        <row r="87">
          <cell r="G87">
            <v>133.59535780000002</v>
          </cell>
          <cell r="H87">
            <v>128.64299242999999</v>
          </cell>
          <cell r="I87">
            <v>122.98367417</v>
          </cell>
          <cell r="R87">
            <v>121.10744125086453</v>
          </cell>
          <cell r="W87">
            <v>119.75995860715204</v>
          </cell>
          <cell r="AB87">
            <v>118.24917916263703</v>
          </cell>
          <cell r="AG87">
            <v>116.77266662397963</v>
          </cell>
          <cell r="AL87">
            <v>115.32946890926982</v>
          </cell>
        </row>
        <row r="94">
          <cell r="G94">
            <v>0.40722984000000001</v>
          </cell>
          <cell r="H94">
            <v>0.66310172000000001</v>
          </cell>
          <cell r="I94">
            <v>0.78545597</v>
          </cell>
          <cell r="R94">
            <v>0.78545597</v>
          </cell>
          <cell r="W94">
            <v>0.78545597</v>
          </cell>
          <cell r="AB94">
            <v>0.78545597</v>
          </cell>
          <cell r="AG94">
            <v>0.78545597</v>
          </cell>
          <cell r="AL94">
            <v>0.78545597</v>
          </cell>
        </row>
        <row r="102">
          <cell r="H102">
            <v>6740.081936550001</v>
          </cell>
          <cell r="I102">
            <v>6704.186537980001</v>
          </cell>
          <cell r="R102">
            <v>6725.8020161372506</v>
          </cell>
          <cell r="W102">
            <v>6828.5599653849804</v>
          </cell>
          <cell r="AB102">
            <v>7018.1114655208958</v>
          </cell>
          <cell r="AG102">
            <v>7256.838267839109</v>
          </cell>
          <cell r="AL102">
            <v>7510.8245790530173</v>
          </cell>
        </row>
        <row r="107">
          <cell r="H107">
            <v>2958.6473397100003</v>
          </cell>
          <cell r="I107">
            <v>2949.6173165</v>
          </cell>
          <cell r="R107">
            <v>2947.253498909743</v>
          </cell>
          <cell r="W107">
            <v>3101.6132387693006</v>
          </cell>
          <cell r="AB107">
            <v>3191.4099031101687</v>
          </cell>
          <cell r="AG107">
            <v>3275.8945312355036</v>
          </cell>
          <cell r="AL107">
            <v>3352.1392499076414</v>
          </cell>
        </row>
        <row r="133">
          <cell r="H133">
            <v>221.46946525999999</v>
          </cell>
          <cell r="I133">
            <v>234.39204854000002</v>
          </cell>
          <cell r="R133">
            <v>261.92016890869081</v>
          </cell>
          <cell r="W133">
            <v>224.07428154356563</v>
          </cell>
          <cell r="AB133">
            <v>54.987082949380913</v>
          </cell>
          <cell r="AG133">
            <v>56.307925682616769</v>
          </cell>
          <cell r="AL133">
            <v>57.504304423102212</v>
          </cell>
        </row>
        <row r="152">
          <cell r="H152">
            <v>0</v>
          </cell>
          <cell r="I152">
            <v>0</v>
          </cell>
          <cell r="R152">
            <v>0</v>
          </cell>
          <cell r="W152">
            <v>0</v>
          </cell>
          <cell r="AB152">
            <v>0</v>
          </cell>
          <cell r="AG152">
            <v>0</v>
          </cell>
          <cell r="AL152">
            <v>0</v>
          </cell>
        </row>
        <row r="201">
          <cell r="H201">
            <v>2581</v>
          </cell>
          <cell r="I201">
            <v>2534</v>
          </cell>
          <cell r="R201">
            <v>2556.7353621775192</v>
          </cell>
          <cell r="W201">
            <v>2534.7896192219009</v>
          </cell>
          <cell r="AB201">
            <v>2493.6866569722438</v>
          </cell>
          <cell r="AG201">
            <v>2454.9980355337752</v>
          </cell>
          <cell r="AL201">
            <v>2417.7342672838076</v>
          </cell>
        </row>
        <row r="208">
          <cell r="AB208">
            <v>287.99177138679238</v>
          </cell>
          <cell r="AG208">
            <v>460.61412597787813</v>
          </cell>
          <cell r="AL208">
            <v>653.62964804868773</v>
          </cell>
        </row>
        <row r="228">
          <cell r="H228">
            <v>182.80554420999999</v>
          </cell>
          <cell r="I228">
            <v>191.43262465999999</v>
          </cell>
          <cell r="R228">
            <v>191.33872616000002</v>
          </cell>
          <cell r="W228">
            <v>192.01219481841611</v>
          </cell>
          <cell r="AB228">
            <v>201.29527546384347</v>
          </cell>
          <cell r="AG228">
            <v>207.39227995512465</v>
          </cell>
          <cell r="AL228">
            <v>213.20372443329916</v>
          </cell>
        </row>
      </sheetData>
      <sheetData sheetId="4"/>
      <sheetData sheetId="5">
        <row r="10">
          <cell r="L10">
            <v>449.0095908400001</v>
          </cell>
          <cell r="M10">
            <v>444.33721217000021</v>
          </cell>
          <cell r="N10">
            <v>454.12259434749268</v>
          </cell>
          <cell r="O10">
            <v>468.05693164391425</v>
          </cell>
          <cell r="P10">
            <v>610.30215478077378</v>
          </cell>
          <cell r="Q10">
            <v>626.45816486595675</v>
          </cell>
          <cell r="R10">
            <v>641.01892554829192</v>
          </cell>
        </row>
        <row r="19">
          <cell r="L19">
            <v>302.70331995000004</v>
          </cell>
          <cell r="M19">
            <v>296.38332237999998</v>
          </cell>
          <cell r="N19">
            <v>302.90510535335528</v>
          </cell>
          <cell r="O19">
            <v>312.19947202732885</v>
          </cell>
          <cell r="P19">
            <v>407.07870692245967</v>
          </cell>
          <cell r="Q19">
            <v>417.8549554462175</v>
          </cell>
          <cell r="R19">
            <v>427.56715387766747</v>
          </cell>
        </row>
        <row r="28">
          <cell r="L28">
            <v>148.50920520000005</v>
          </cell>
          <cell r="M28">
            <v>146.99533778</v>
          </cell>
          <cell r="N28">
            <v>149.99106978088406</v>
          </cell>
          <cell r="O28">
            <v>154.5934088492165</v>
          </cell>
          <cell r="P28">
            <v>201.57524471266677</v>
          </cell>
          <cell r="Q28">
            <v>206.91137479346406</v>
          </cell>
          <cell r="R28">
            <v>211.72061374953262</v>
          </cell>
        </row>
        <row r="40">
          <cell r="L40">
            <v>2.3358474999999994</v>
          </cell>
          <cell r="M40">
            <v>2.3486185999999956</v>
          </cell>
          <cell r="N40">
            <v>2.404769206918365</v>
          </cell>
          <cell r="O40">
            <v>2.4785573550227245</v>
          </cell>
          <cell r="P40">
            <v>3.2318151169400084</v>
          </cell>
          <cell r="Q40">
            <v>3.3173682109504421</v>
          </cell>
          <cell r="R40">
            <v>3.3944737661556665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 ok"/>
      <sheetName val="TableauxNote ok"/>
      <sheetName val="Détail CHG PDT ok"/>
      <sheetName val="RESULTAT NET ok"/>
      <sheetName val="RETRAITE ok"/>
      <sheetName val="TCDC SA (Charges) ok"/>
      <sheetName val="CHARGES_PRODUITS ok"/>
      <sheetName val="Prest._cotisa. ok"/>
      <sheetName val="SOLDES ok"/>
      <sheetName val="Masse Salariale ND ok"/>
    </sheetNames>
    <sheetDataSet>
      <sheetData sheetId="0"/>
      <sheetData sheetId="1">
        <row r="10">
          <cell r="C10">
            <v>4275.5486897999999</v>
          </cell>
          <cell r="D10">
            <v>4188.5580578600002</v>
          </cell>
          <cell r="E10">
            <v>3037.3926879090495</v>
          </cell>
          <cell r="F10">
            <v>3144.4552658633197</v>
          </cell>
          <cell r="G10">
            <v>3139.585488778755</v>
          </cell>
          <cell r="H10">
            <v>3222.7727844659112</v>
          </cell>
          <cell r="I10">
            <v>3297.7520033318197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sations SA - Tableaux 1à4"/>
      <sheetName val="Cotisations SA - Tableau 5"/>
      <sheetName val="Cotisations SA - Tableau 6"/>
      <sheetName val="Cotisations SA - Ecarts1"/>
      <sheetName val="Cotisations SA - Ecarts2"/>
      <sheetName val="Chiffrage des mesures 2020"/>
    </sheetNames>
    <sheetDataSet>
      <sheetData sheetId="0">
        <row r="9">
          <cell r="C9">
            <v>323540.5880745445</v>
          </cell>
        </row>
        <row r="10">
          <cell r="C10">
            <v>294041.22193930397</v>
          </cell>
        </row>
        <row r="12">
          <cell r="C12">
            <v>59741.160462512846</v>
          </cell>
        </row>
        <row r="13">
          <cell r="C13">
            <v>173446.02258238001</v>
          </cell>
        </row>
        <row r="15">
          <cell r="C15">
            <v>72423.369387718441</v>
          </cell>
        </row>
        <row r="16">
          <cell r="C16">
            <v>262269.50640861265</v>
          </cell>
        </row>
        <row r="18">
          <cell r="C18">
            <v>65827.048273472828</v>
          </cell>
        </row>
        <row r="19">
          <cell r="C19">
            <v>105584.06124473555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showGridLines="0" tabSelected="1" workbookViewId="0">
      <selection activeCell="A5" sqref="A5:G5"/>
    </sheetView>
  </sheetViews>
  <sheetFormatPr baseColWidth="10" defaultRowHeight="12.5" x14ac:dyDescent="0.25"/>
  <cols>
    <col min="8" max="33" width="10.90625" style="631"/>
  </cols>
  <sheetData>
    <row r="1" spans="1:7" ht="16" thickTop="1" x14ac:dyDescent="0.35">
      <c r="A1" s="628"/>
      <c r="B1" s="629"/>
      <c r="C1" s="629"/>
      <c r="D1" s="629"/>
      <c r="E1" s="629"/>
      <c r="F1" s="629"/>
      <c r="G1" s="630" t="s">
        <v>253</v>
      </c>
    </row>
    <row r="2" spans="1:7" x14ac:dyDescent="0.25">
      <c r="A2" s="632"/>
      <c r="B2" s="633"/>
      <c r="C2" s="633"/>
      <c r="D2" s="633"/>
      <c r="E2" s="633"/>
      <c r="F2" s="633"/>
      <c r="G2" s="634"/>
    </row>
    <row r="3" spans="1:7" x14ac:dyDescent="0.25">
      <c r="A3" s="632"/>
      <c r="B3" s="633"/>
      <c r="C3" s="633"/>
      <c r="D3" s="633"/>
      <c r="E3" s="633"/>
      <c r="F3" s="633"/>
      <c r="G3" s="634"/>
    </row>
    <row r="4" spans="1:7" x14ac:dyDescent="0.25">
      <c r="A4" s="632"/>
      <c r="B4" s="633"/>
      <c r="C4" s="633"/>
      <c r="D4" s="633"/>
      <c r="E4" s="633"/>
      <c r="F4" s="633"/>
      <c r="G4" s="634"/>
    </row>
    <row r="5" spans="1:7" ht="26" x14ac:dyDescent="0.25">
      <c r="A5" s="635" t="s">
        <v>254</v>
      </c>
      <c r="B5" s="635"/>
      <c r="C5" s="635"/>
      <c r="D5" s="635"/>
      <c r="E5" s="635"/>
      <c r="F5" s="635"/>
      <c r="G5" s="636"/>
    </row>
    <row r="6" spans="1:7" ht="26" x14ac:dyDescent="0.25">
      <c r="A6" s="635" t="s">
        <v>255</v>
      </c>
      <c r="B6" s="635"/>
      <c r="C6" s="635"/>
      <c r="D6" s="635"/>
      <c r="E6" s="635"/>
      <c r="F6" s="635"/>
      <c r="G6" s="636"/>
    </row>
    <row r="7" spans="1:7" ht="21" x14ac:dyDescent="0.25">
      <c r="A7" s="637" t="s">
        <v>256</v>
      </c>
      <c r="B7" s="637"/>
      <c r="C7" s="637"/>
      <c r="D7" s="637"/>
      <c r="E7" s="637"/>
      <c r="F7" s="637"/>
      <c r="G7" s="638"/>
    </row>
    <row r="8" spans="1:7" ht="21" x14ac:dyDescent="0.25">
      <c r="A8" s="639"/>
      <c r="B8" s="639"/>
      <c r="C8" s="639"/>
      <c r="D8" s="639"/>
      <c r="E8" s="639"/>
      <c r="F8" s="639"/>
      <c r="G8" s="640"/>
    </row>
    <row r="9" spans="1:7" ht="21" x14ac:dyDescent="0.25">
      <c r="A9" s="639"/>
      <c r="B9" s="639"/>
      <c r="C9" s="639"/>
      <c r="D9" s="639"/>
      <c r="E9" s="639"/>
      <c r="F9" s="639"/>
      <c r="G9" s="640"/>
    </row>
    <row r="10" spans="1:7" x14ac:dyDescent="0.25">
      <c r="A10" s="632" t="s">
        <v>257</v>
      </c>
      <c r="B10" s="633"/>
      <c r="C10" s="633"/>
      <c r="D10" s="633"/>
      <c r="E10" s="633"/>
      <c r="F10" s="633"/>
      <c r="G10" s="641" t="s">
        <v>258</v>
      </c>
    </row>
    <row r="11" spans="1:7" x14ac:dyDescent="0.25">
      <c r="A11" s="632" t="s">
        <v>259</v>
      </c>
      <c r="B11" s="633"/>
      <c r="C11" s="633"/>
      <c r="D11" s="633"/>
      <c r="E11" s="633"/>
      <c r="F11" s="633"/>
      <c r="G11" s="634"/>
    </row>
    <row r="12" spans="1:7" ht="13" x14ac:dyDescent="0.25">
      <c r="A12" s="642" t="s">
        <v>260</v>
      </c>
      <c r="B12" s="633"/>
      <c r="C12" s="633"/>
      <c r="D12" s="633"/>
      <c r="E12" s="633"/>
      <c r="F12" s="633"/>
      <c r="G12" s="634"/>
    </row>
    <row r="13" spans="1:7" x14ac:dyDescent="0.25">
      <c r="A13" s="643" t="s">
        <v>261</v>
      </c>
      <c r="B13" s="633"/>
      <c r="C13" s="633"/>
      <c r="D13" s="633"/>
      <c r="E13" s="633"/>
      <c r="F13" s="633"/>
      <c r="G13" s="634"/>
    </row>
    <row r="14" spans="1:7" x14ac:dyDescent="0.25">
      <c r="A14" s="644"/>
      <c r="B14" s="633"/>
      <c r="C14" s="633"/>
      <c r="D14" s="633"/>
      <c r="E14" s="633"/>
      <c r="F14" s="633"/>
      <c r="G14" s="634"/>
    </row>
    <row r="15" spans="1:7" x14ac:dyDescent="0.25">
      <c r="A15" s="642" t="s">
        <v>262</v>
      </c>
      <c r="B15" s="633"/>
      <c r="C15" s="633"/>
      <c r="D15" s="633"/>
      <c r="E15" s="633"/>
      <c r="F15" s="633"/>
      <c r="G15" s="634"/>
    </row>
    <row r="16" spans="1:7" x14ac:dyDescent="0.25">
      <c r="A16" s="642" t="s">
        <v>263</v>
      </c>
      <c r="B16" s="633"/>
      <c r="C16" s="633"/>
      <c r="D16" s="633"/>
      <c r="E16" s="633"/>
      <c r="F16" s="633"/>
      <c r="G16" s="634"/>
    </row>
    <row r="17" spans="1:7" x14ac:dyDescent="0.25">
      <c r="A17" s="645" t="s">
        <v>264</v>
      </c>
      <c r="B17" s="633"/>
      <c r="C17" s="633"/>
      <c r="D17" s="633"/>
      <c r="E17" s="633"/>
      <c r="F17" s="633"/>
      <c r="G17" s="634"/>
    </row>
    <row r="18" spans="1:7" x14ac:dyDescent="0.25">
      <c r="A18" s="632"/>
      <c r="B18" s="633"/>
      <c r="C18" s="633"/>
      <c r="D18" s="633"/>
      <c r="E18" s="633"/>
      <c r="F18" s="633"/>
      <c r="G18" s="634"/>
    </row>
    <row r="19" spans="1:7" x14ac:dyDescent="0.25">
      <c r="A19" s="646" t="s">
        <v>265</v>
      </c>
      <c r="B19" s="633"/>
      <c r="C19" s="633"/>
      <c r="D19" s="633"/>
      <c r="E19" s="633"/>
      <c r="F19" s="633"/>
      <c r="G19" s="634"/>
    </row>
    <row r="20" spans="1:7" x14ac:dyDescent="0.25">
      <c r="A20" s="645" t="s">
        <v>266</v>
      </c>
      <c r="B20" s="633"/>
      <c r="C20" s="633"/>
      <c r="D20" s="633"/>
      <c r="E20" s="633"/>
      <c r="F20" s="633"/>
      <c r="G20" s="634"/>
    </row>
    <row r="21" spans="1:7" ht="13" thickBot="1" x14ac:dyDescent="0.3">
      <c r="A21" s="647"/>
      <c r="B21" s="648"/>
      <c r="C21" s="648"/>
      <c r="D21" s="648"/>
      <c r="E21" s="648"/>
      <c r="F21" s="648"/>
      <c r="G21" s="649"/>
    </row>
    <row r="22" spans="1:7" s="631" customFormat="1" ht="13" thickTop="1" x14ac:dyDescent="0.25"/>
    <row r="23" spans="1:7" s="631" customFormat="1" x14ac:dyDescent="0.25"/>
    <row r="24" spans="1:7" s="631" customFormat="1" x14ac:dyDescent="0.25"/>
    <row r="25" spans="1:7" s="631" customFormat="1" x14ac:dyDescent="0.25"/>
    <row r="26" spans="1:7" s="631" customFormat="1" x14ac:dyDescent="0.25"/>
    <row r="27" spans="1:7" s="631" customFormat="1" x14ac:dyDescent="0.25"/>
    <row r="28" spans="1:7" s="631" customFormat="1" x14ac:dyDescent="0.25"/>
    <row r="29" spans="1:7" s="631" customFormat="1" x14ac:dyDescent="0.25"/>
    <row r="30" spans="1:7" s="631" customFormat="1" x14ac:dyDescent="0.25"/>
    <row r="31" spans="1:7" s="631" customFormat="1" x14ac:dyDescent="0.25"/>
    <row r="32" spans="1:7" s="631" customFormat="1" x14ac:dyDescent="0.25"/>
    <row r="33" s="631" customFormat="1" x14ac:dyDescent="0.25"/>
    <row r="34" s="631" customFormat="1" x14ac:dyDescent="0.25"/>
    <row r="35" s="631" customFormat="1" x14ac:dyDescent="0.25"/>
    <row r="36" s="631" customFormat="1" x14ac:dyDescent="0.25"/>
    <row r="37" s="631" customFormat="1" x14ac:dyDescent="0.25"/>
    <row r="38" s="631" customFormat="1" x14ac:dyDescent="0.25"/>
    <row r="39" s="631" customFormat="1" x14ac:dyDescent="0.25"/>
    <row r="40" s="631" customFormat="1" x14ac:dyDescent="0.25"/>
    <row r="41" s="631" customFormat="1" x14ac:dyDescent="0.25"/>
    <row r="42" s="631" customFormat="1" x14ac:dyDescent="0.25"/>
    <row r="43" s="631" customFormat="1" x14ac:dyDescent="0.25"/>
    <row r="44" s="631" customFormat="1" x14ac:dyDescent="0.25"/>
    <row r="45" s="631" customFormat="1" x14ac:dyDescent="0.25"/>
    <row r="46" s="631" customFormat="1" x14ac:dyDescent="0.25"/>
    <row r="47" s="631" customFormat="1" x14ac:dyDescent="0.25"/>
    <row r="48" s="631" customFormat="1" x14ac:dyDescent="0.25"/>
    <row r="49" s="631" customFormat="1" x14ac:dyDescent="0.25"/>
    <row r="50" s="631" customFormat="1" x14ac:dyDescent="0.25"/>
    <row r="51" s="631" customFormat="1" x14ac:dyDescent="0.25"/>
    <row r="52" s="631" customFormat="1" x14ac:dyDescent="0.25"/>
    <row r="53" s="631" customFormat="1" x14ac:dyDescent="0.25"/>
    <row r="54" s="631" customFormat="1" x14ac:dyDescent="0.25"/>
    <row r="55" s="631" customFormat="1" x14ac:dyDescent="0.25"/>
    <row r="56" s="631" customFormat="1" x14ac:dyDescent="0.25"/>
    <row r="57" s="631" customFormat="1" x14ac:dyDescent="0.25"/>
    <row r="58" s="631" customFormat="1" x14ac:dyDescent="0.25"/>
    <row r="59" s="631" customFormat="1" x14ac:dyDescent="0.25"/>
    <row r="60" s="631" customFormat="1" x14ac:dyDescent="0.25"/>
    <row r="61" s="631" customFormat="1" x14ac:dyDescent="0.25"/>
    <row r="62" s="631" customFormat="1" x14ac:dyDescent="0.25"/>
    <row r="63" s="631" customFormat="1" x14ac:dyDescent="0.25"/>
    <row r="64" s="631" customFormat="1" x14ac:dyDescent="0.25"/>
    <row r="65" s="631" customFormat="1" x14ac:dyDescent="0.25"/>
    <row r="66" s="631" customFormat="1" x14ac:dyDescent="0.25"/>
    <row r="67" s="631" customFormat="1" x14ac:dyDescent="0.25"/>
    <row r="68" s="631" customFormat="1" x14ac:dyDescent="0.25"/>
    <row r="69" s="631" customFormat="1" x14ac:dyDescent="0.25"/>
    <row r="70" s="631" customFormat="1" x14ac:dyDescent="0.25"/>
    <row r="71" s="631" customFormat="1" x14ac:dyDescent="0.25"/>
    <row r="72" s="631" customFormat="1" x14ac:dyDescent="0.25"/>
    <row r="73" s="631" customFormat="1" x14ac:dyDescent="0.25"/>
    <row r="74" s="631" customFormat="1" x14ac:dyDescent="0.25"/>
    <row r="75" s="631" customFormat="1" x14ac:dyDescent="0.25"/>
    <row r="76" s="631" customFormat="1" x14ac:dyDescent="0.25"/>
    <row r="77" s="631" customFormat="1" x14ac:dyDescent="0.25"/>
    <row r="78" s="631" customFormat="1" x14ac:dyDescent="0.25"/>
    <row r="79" s="631" customFormat="1" x14ac:dyDescent="0.25"/>
    <row r="80" s="631" customFormat="1" x14ac:dyDescent="0.25"/>
    <row r="81" s="631" customFormat="1" x14ac:dyDescent="0.25"/>
    <row r="82" s="631" customFormat="1" x14ac:dyDescent="0.25"/>
    <row r="83" s="631" customFormat="1" x14ac:dyDescent="0.25"/>
    <row r="84" s="631" customFormat="1" x14ac:dyDescent="0.25"/>
    <row r="85" s="631" customFormat="1" x14ac:dyDescent="0.25"/>
    <row r="86" s="631" customFormat="1" x14ac:dyDescent="0.25"/>
    <row r="87" s="631" customFormat="1" x14ac:dyDescent="0.25"/>
    <row r="88" s="631" customFormat="1" x14ac:dyDescent="0.25"/>
    <row r="89" s="631" customFormat="1" x14ac:dyDescent="0.25"/>
    <row r="90" s="631" customFormat="1" x14ac:dyDescent="0.25"/>
    <row r="91" s="631" customFormat="1" x14ac:dyDescent="0.25"/>
    <row r="92" s="631" customFormat="1" x14ac:dyDescent="0.25"/>
    <row r="93" s="631" customFormat="1" x14ac:dyDescent="0.25"/>
    <row r="94" s="631" customFormat="1" x14ac:dyDescent="0.25"/>
    <row r="95" s="631" customFormat="1" x14ac:dyDescent="0.25"/>
    <row r="96" s="631" customFormat="1" x14ac:dyDescent="0.25"/>
    <row r="97" s="631" customFormat="1" x14ac:dyDescent="0.25"/>
    <row r="98" s="631" customFormat="1" x14ac:dyDescent="0.25"/>
    <row r="99" s="631" customFormat="1" x14ac:dyDescent="0.25"/>
    <row r="100" s="631" customFormat="1" x14ac:dyDescent="0.25"/>
    <row r="101" s="631" customFormat="1" x14ac:dyDescent="0.25"/>
    <row r="102" s="631" customFormat="1" x14ac:dyDescent="0.25"/>
    <row r="103" s="631" customFormat="1" x14ac:dyDescent="0.25"/>
    <row r="104" s="631" customFormat="1" x14ac:dyDescent="0.25"/>
    <row r="105" s="631" customFormat="1" x14ac:dyDescent="0.25"/>
    <row r="106" s="631" customFormat="1" x14ac:dyDescent="0.25"/>
    <row r="107" s="631" customFormat="1" x14ac:dyDescent="0.25"/>
    <row r="108" s="631" customFormat="1" x14ac:dyDescent="0.25"/>
    <row r="109" s="631" customFormat="1" x14ac:dyDescent="0.25"/>
    <row r="110" s="631" customFormat="1" x14ac:dyDescent="0.25"/>
    <row r="111" s="631" customFormat="1" x14ac:dyDescent="0.25"/>
    <row r="112" s="631" customFormat="1" x14ac:dyDescent="0.25"/>
    <row r="113" s="631" customFormat="1" x14ac:dyDescent="0.25"/>
    <row r="114" s="631" customFormat="1" x14ac:dyDescent="0.25"/>
    <row r="115" s="631" customFormat="1" x14ac:dyDescent="0.25"/>
    <row r="116" s="631" customFormat="1" x14ac:dyDescent="0.25"/>
    <row r="117" s="631" customFormat="1" x14ac:dyDescent="0.25"/>
    <row r="118" s="631" customFormat="1" x14ac:dyDescent="0.25"/>
    <row r="119" s="631" customFormat="1" x14ac:dyDescent="0.25"/>
    <row r="120" s="631" customFormat="1" x14ac:dyDescent="0.25"/>
    <row r="121" s="631" customFormat="1" x14ac:dyDescent="0.25"/>
    <row r="122" s="631" customFormat="1" x14ac:dyDescent="0.25"/>
    <row r="123" s="631" customFormat="1" x14ac:dyDescent="0.25"/>
    <row r="124" s="631" customFormat="1" x14ac:dyDescent="0.25"/>
    <row r="125" s="631" customFormat="1" x14ac:dyDescent="0.25"/>
    <row r="126" s="631" customFormat="1" x14ac:dyDescent="0.25"/>
    <row r="127" s="631" customFormat="1" x14ac:dyDescent="0.25"/>
    <row r="128" s="631" customFormat="1" x14ac:dyDescent="0.25"/>
    <row r="129" s="631" customFormat="1" x14ac:dyDescent="0.25"/>
    <row r="130" s="631" customFormat="1" x14ac:dyDescent="0.25"/>
    <row r="131" s="631" customFormat="1" x14ac:dyDescent="0.25"/>
    <row r="132" s="631" customFormat="1" x14ac:dyDescent="0.25"/>
    <row r="133" s="631" customFormat="1" x14ac:dyDescent="0.25"/>
    <row r="134" s="631" customFormat="1" x14ac:dyDescent="0.25"/>
    <row r="135" s="631" customFormat="1" x14ac:dyDescent="0.25"/>
    <row r="136" s="631" customFormat="1" x14ac:dyDescent="0.25"/>
    <row r="137" s="631" customFormat="1" x14ac:dyDescent="0.25"/>
    <row r="138" s="631" customFormat="1" x14ac:dyDescent="0.25"/>
    <row r="139" s="631" customFormat="1" x14ac:dyDescent="0.25"/>
    <row r="140" s="631" customFormat="1" x14ac:dyDescent="0.25"/>
    <row r="141" s="631" customFormat="1" x14ac:dyDescent="0.25"/>
    <row r="142" s="631" customFormat="1" x14ac:dyDescent="0.25"/>
    <row r="143" s="631" customFormat="1" x14ac:dyDescent="0.25"/>
    <row r="144" s="631" customFormat="1" x14ac:dyDescent="0.25"/>
    <row r="145" s="631" customFormat="1" x14ac:dyDescent="0.25"/>
    <row r="146" s="631" customFormat="1" x14ac:dyDescent="0.25"/>
    <row r="147" s="631" customFormat="1" x14ac:dyDescent="0.25"/>
    <row r="148" s="631" customFormat="1" x14ac:dyDescent="0.25"/>
    <row r="149" s="631" customFormat="1" x14ac:dyDescent="0.25"/>
    <row r="150" s="631" customFormat="1" x14ac:dyDescent="0.25"/>
    <row r="151" s="631" customFormat="1" x14ac:dyDescent="0.25"/>
    <row r="152" s="631" customFormat="1" x14ac:dyDescent="0.25"/>
    <row r="153" s="631" customFormat="1" x14ac:dyDescent="0.25"/>
    <row r="154" s="631" customFormat="1" x14ac:dyDescent="0.25"/>
    <row r="155" s="631" customFormat="1" x14ac:dyDescent="0.25"/>
    <row r="156" s="631" customFormat="1" x14ac:dyDescent="0.25"/>
    <row r="157" s="631" customFormat="1" x14ac:dyDescent="0.25"/>
    <row r="158" s="631" customFormat="1" x14ac:dyDescent="0.25"/>
    <row r="159" s="631" customFormat="1" x14ac:dyDescent="0.25"/>
    <row r="160" s="631" customFormat="1" x14ac:dyDescent="0.25"/>
    <row r="161" s="631" customFormat="1" x14ac:dyDescent="0.25"/>
    <row r="162" s="631" customFormat="1" x14ac:dyDescent="0.25"/>
  </sheetData>
  <mergeCells count="3">
    <mergeCell ref="A5:G5"/>
    <mergeCell ref="A6:G6"/>
    <mergeCell ref="A7:G7"/>
  </mergeCells>
  <hyperlinks>
    <hyperlink ref="A13" r:id="rId1" display="mailto:joubert.nadia@ccmsa.msa.fr"/>
    <hyperlink ref="A17" r:id="rId2"/>
    <hyperlink ref="A2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L50"/>
  <sheetViews>
    <sheetView zoomScale="90" zoomScaleNormal="90" workbookViewId="0"/>
  </sheetViews>
  <sheetFormatPr baseColWidth="10" defaultColWidth="11.453125" defaultRowHeight="14" x14ac:dyDescent="0.3"/>
  <cols>
    <col min="1" max="1" width="30.453125" style="4" bestFit="1" customWidth="1"/>
    <col min="2" max="2" width="13.26953125" style="4" bestFit="1" customWidth="1"/>
    <col min="3" max="7" width="10.7265625" style="4" bestFit="1" customWidth="1"/>
    <col min="8" max="16384" width="11.453125" style="4"/>
  </cols>
  <sheetData>
    <row r="1" spans="1:12" ht="14.5" thickBot="1" x14ac:dyDescent="0.35">
      <c r="A1" s="60" t="s">
        <v>38</v>
      </c>
      <c r="B1" s="597">
        <f>Prest._cotisa.!D2</f>
        <v>2019</v>
      </c>
      <c r="C1" s="597">
        <f>Prest._cotisa.!E2</f>
        <v>2020</v>
      </c>
      <c r="D1" s="599" t="s">
        <v>1</v>
      </c>
      <c r="E1" s="600"/>
      <c r="F1" s="600"/>
      <c r="G1" s="600"/>
      <c r="H1" s="601"/>
    </row>
    <row r="2" spans="1:12" ht="14.5" thickBot="1" x14ac:dyDescent="0.35">
      <c r="A2" s="61" t="s">
        <v>26</v>
      </c>
      <c r="B2" s="598"/>
      <c r="C2" s="598"/>
      <c r="D2" s="62" t="str">
        <f>Prest._cotisa.!F2</f>
        <v>2021(p)</v>
      </c>
      <c r="E2" s="62" t="str">
        <f>Prest._cotisa.!G2</f>
        <v>2022(p)</v>
      </c>
      <c r="F2" s="62" t="str">
        <f>Prest._cotisa.!H2</f>
        <v>2023(p)</v>
      </c>
      <c r="G2" s="62" t="str">
        <f>Prest._cotisa.!I2</f>
        <v>2024(p)</v>
      </c>
      <c r="H2" s="62" t="str">
        <f>Prest._cotisa.!J2</f>
        <v>2025(p)</v>
      </c>
      <c r="K2" s="224"/>
      <c r="L2" s="186"/>
    </row>
    <row r="3" spans="1:12" ht="14.5" thickBot="1" x14ac:dyDescent="0.35">
      <c r="A3" s="63" t="s">
        <v>27</v>
      </c>
      <c r="B3" s="67">
        <f>CHARGES_PRODUITS!C7</f>
        <v>14784.025856220003</v>
      </c>
      <c r="C3" s="67">
        <f>CHARGES_PRODUITS!D7</f>
        <v>15253.660871410004</v>
      </c>
      <c r="D3" s="67">
        <f>CHARGES_PRODUITS!E7</f>
        <v>14070.993409051473</v>
      </c>
      <c r="E3" s="67">
        <f>CHARGES_PRODUITS!F7</f>
        <v>13923.703677066853</v>
      </c>
      <c r="F3" s="67">
        <f>CHARGES_PRODUITS!G7</f>
        <v>14197.508653562416</v>
      </c>
      <c r="G3" s="67">
        <f>CHARGES_PRODUITS!H7</f>
        <v>14550.742881084348</v>
      </c>
      <c r="H3" s="67">
        <f>CHARGES_PRODUITS!I7</f>
        <v>14926.922697868513</v>
      </c>
      <c r="L3" s="189"/>
    </row>
    <row r="4" spans="1:12" ht="14.5" thickBot="1" x14ac:dyDescent="0.35">
      <c r="A4" s="64" t="s">
        <v>28</v>
      </c>
      <c r="B4" s="68">
        <f>CHARGES_PRODUITS!C12</f>
        <v>14816.211346280001</v>
      </c>
      <c r="C4" s="68">
        <f>CHARGES_PRODUITS!D12</f>
        <v>15305.066227300002</v>
      </c>
      <c r="D4" s="68">
        <f>CHARGES_PRODUITS!E12</f>
        <v>14098.776949204741</v>
      </c>
      <c r="E4" s="68">
        <f>CHARGES_PRODUITS!F12</f>
        <v>13962.723014627816</v>
      </c>
      <c r="F4" s="68">
        <f>CHARGES_PRODUITS!G12</f>
        <v>14238.889716063788</v>
      </c>
      <c r="G4" s="68">
        <f>CHARGES_PRODUITS!H12</f>
        <v>14594.44379721615</v>
      </c>
      <c r="H4" s="68">
        <f>CHARGES_PRODUITS!I12</f>
        <v>14972.947287798665</v>
      </c>
    </row>
    <row r="5" spans="1:12" ht="14.5" thickBot="1" x14ac:dyDescent="0.35">
      <c r="A5" s="65" t="s">
        <v>39</v>
      </c>
      <c r="B5" s="66">
        <f t="shared" ref="B5:H5" si="0">B4-B3</f>
        <v>32.185490059997392</v>
      </c>
      <c r="C5" s="66">
        <f>C4-C3</f>
        <v>51.405355889997736</v>
      </c>
      <c r="D5" s="66">
        <f>D4-D3</f>
        <v>27.783540153268405</v>
      </c>
      <c r="E5" s="66">
        <f t="shared" si="0"/>
        <v>39.019337560963322</v>
      </c>
      <c r="F5" s="66">
        <f t="shared" si="0"/>
        <v>41.381062501372071</v>
      </c>
      <c r="G5" s="66">
        <f t="shared" si="0"/>
        <v>43.700916131801932</v>
      </c>
      <c r="H5" s="66">
        <f t="shared" si="0"/>
        <v>46.024589930151706</v>
      </c>
    </row>
    <row r="6" spans="1:12" x14ac:dyDescent="0.3">
      <c r="B6" s="134"/>
      <c r="C6" s="134"/>
      <c r="D6" s="134"/>
      <c r="E6" s="134"/>
      <c r="F6" s="134"/>
      <c r="G6" s="134"/>
      <c r="H6" s="134"/>
    </row>
    <row r="7" spans="1:12" ht="14.5" thickBot="1" x14ac:dyDescent="0.35"/>
    <row r="8" spans="1:12" ht="14.5" thickBot="1" x14ac:dyDescent="0.35">
      <c r="A8" s="60" t="s">
        <v>38</v>
      </c>
      <c r="B8" s="597" t="str">
        <f>CHARGES_PRODUITS!C17</f>
        <v>2020/2019</v>
      </c>
      <c r="C8" s="599" t="s">
        <v>1</v>
      </c>
      <c r="D8" s="600"/>
      <c r="E8" s="600"/>
      <c r="F8" s="600"/>
      <c r="G8" s="601"/>
    </row>
    <row r="9" spans="1:12" ht="14.5" thickBot="1" x14ac:dyDescent="0.35">
      <c r="A9" s="61" t="s">
        <v>26</v>
      </c>
      <c r="B9" s="598"/>
      <c r="C9" s="62" t="str">
        <f>CHARGES_PRODUITS!D17</f>
        <v>2021/2020</v>
      </c>
      <c r="D9" s="62" t="str">
        <f>CHARGES_PRODUITS!E17</f>
        <v>2022/2021</v>
      </c>
      <c r="E9" s="62" t="str">
        <f>CHARGES_PRODUITS!F17</f>
        <v>2023/2022</v>
      </c>
      <c r="F9" s="62" t="str">
        <f>CHARGES_PRODUITS!G17</f>
        <v>2024/2023</v>
      </c>
      <c r="G9" s="62" t="str">
        <f>CHARGES_PRODUITS!H17</f>
        <v>2025/2024</v>
      </c>
    </row>
    <row r="10" spans="1:12" ht="14.5" thickBot="1" x14ac:dyDescent="0.35">
      <c r="A10" s="63" t="s">
        <v>27</v>
      </c>
      <c r="B10" s="69">
        <f t="shared" ref="B10:G10" si="1">C3/B3-1</f>
        <v>3.1766382158511464E-2</v>
      </c>
      <c r="C10" s="69">
        <f t="shared" si="1"/>
        <v>-7.7533352309884451E-2</v>
      </c>
      <c r="D10" s="69">
        <f t="shared" si="1"/>
        <v>-1.0467614311429618E-2</v>
      </c>
      <c r="E10" s="69">
        <f t="shared" si="1"/>
        <v>1.9664665583664753E-2</v>
      </c>
      <c r="F10" s="69">
        <f t="shared" si="1"/>
        <v>2.4880014947784579E-2</v>
      </c>
      <c r="G10" s="69">
        <f t="shared" si="1"/>
        <v>2.5852962962680692E-2</v>
      </c>
      <c r="H10" s="71"/>
      <c r="I10" s="71"/>
    </row>
    <row r="11" spans="1:12" ht="14.5" thickBot="1" x14ac:dyDescent="0.35">
      <c r="A11" s="64" t="s">
        <v>28</v>
      </c>
      <c r="B11" s="69">
        <f t="shared" ref="B11:G11" si="2">C4/B4-1</f>
        <v>3.2994594204593497E-2</v>
      </c>
      <c r="C11" s="69">
        <f t="shared" si="2"/>
        <v>-7.8816338340540804E-2</v>
      </c>
      <c r="D11" s="69">
        <f t="shared" si="2"/>
        <v>-9.6500522752506201E-3</v>
      </c>
      <c r="E11" s="69">
        <f t="shared" si="2"/>
        <v>1.9778856971283565E-2</v>
      </c>
      <c r="F11" s="69">
        <f t="shared" si="2"/>
        <v>2.4970632418849226E-2</v>
      </c>
      <c r="G11" s="69">
        <f t="shared" si="2"/>
        <v>2.5934766397518461E-2</v>
      </c>
      <c r="H11" s="71"/>
      <c r="I11" s="71"/>
    </row>
    <row r="12" spans="1:12" ht="14.5" thickBot="1" x14ac:dyDescent="0.35">
      <c r="A12" s="65" t="s">
        <v>39</v>
      </c>
      <c r="B12" s="70">
        <f t="shared" ref="B12:G12" si="3">C5/B5-1</f>
        <v>0.59715933466205873</v>
      </c>
      <c r="C12" s="70">
        <f t="shared" si="3"/>
        <v>-0.45952051741996747</v>
      </c>
      <c r="D12" s="70">
        <f t="shared" si="3"/>
        <v>0.40440481471088408</v>
      </c>
      <c r="E12" s="70">
        <f t="shared" si="3"/>
        <v>6.0527038336281924E-2</v>
      </c>
      <c r="F12" s="70">
        <f t="shared" si="3"/>
        <v>5.606075557757717E-2</v>
      </c>
      <c r="G12" s="70">
        <f t="shared" si="3"/>
        <v>5.3172198755320643E-2</v>
      </c>
      <c r="H12" s="71"/>
    </row>
    <row r="13" spans="1:12" x14ac:dyDescent="0.3">
      <c r="B13" s="134"/>
      <c r="C13" s="134"/>
      <c r="D13" s="134"/>
      <c r="E13" s="134"/>
      <c r="F13" s="134"/>
      <c r="G13" s="134"/>
    </row>
    <row r="16" spans="1:12" ht="14.5" thickBot="1" x14ac:dyDescent="0.35">
      <c r="A16" s="15" t="s">
        <v>103</v>
      </c>
      <c r="B16" s="224"/>
    </row>
    <row r="17" spans="1:11" ht="14.5" thickBot="1" x14ac:dyDescent="0.35">
      <c r="A17" s="60" t="s">
        <v>38</v>
      </c>
      <c r="B17" s="597">
        <f>B1</f>
        <v>2019</v>
      </c>
      <c r="C17" s="597">
        <f>C1</f>
        <v>2020</v>
      </c>
      <c r="D17" s="599" t="s">
        <v>1</v>
      </c>
      <c r="E17" s="600"/>
      <c r="F17" s="600"/>
      <c r="G17" s="600"/>
      <c r="H17" s="601"/>
    </row>
    <row r="18" spans="1:11" ht="14.5" thickBot="1" x14ac:dyDescent="0.35">
      <c r="A18" s="61" t="s">
        <v>26</v>
      </c>
      <c r="B18" s="602"/>
      <c r="C18" s="602"/>
      <c r="D18" s="135" t="str">
        <f>D2</f>
        <v>2021(p)</v>
      </c>
      <c r="E18" s="135" t="str">
        <f>E2</f>
        <v>2022(p)</v>
      </c>
      <c r="F18" s="135" t="str">
        <f>F2</f>
        <v>2023(p)</v>
      </c>
      <c r="G18" s="135" t="str">
        <f>G2</f>
        <v>2024(p)</v>
      </c>
      <c r="H18" s="135" t="str">
        <f>H2</f>
        <v>2025(p)</v>
      </c>
    </row>
    <row r="19" spans="1:11" x14ac:dyDescent="0.3">
      <c r="A19" s="231" t="s">
        <v>98</v>
      </c>
      <c r="B19" s="228">
        <f>CHARGES_PRODUITS!C8-CHARGES_PRODUITS!C3</f>
        <v>0</v>
      </c>
      <c r="C19" s="228">
        <f>CHARGES_PRODUITS!D8-CHARGES_PRODUITS!D3</f>
        <v>0</v>
      </c>
      <c r="D19" s="228">
        <f>CHARGES_PRODUITS!E8-CHARGES_PRODUITS!E3</f>
        <v>0</v>
      </c>
      <c r="E19" s="228">
        <f>CHARGES_PRODUITS!F8-CHARGES_PRODUITS!F3</f>
        <v>0</v>
      </c>
      <c r="F19" s="228">
        <f>CHARGES_PRODUITS!G8-CHARGES_PRODUITS!G3</f>
        <v>0</v>
      </c>
      <c r="G19" s="228">
        <f>CHARGES_PRODUITS!H8-CHARGES_PRODUITS!H3</f>
        <v>0</v>
      </c>
      <c r="H19" s="228">
        <f>CHARGES_PRODUITS!I8-CHARGES_PRODUITS!I3</f>
        <v>0</v>
      </c>
    </row>
    <row r="20" spans="1:11" x14ac:dyDescent="0.3">
      <c r="A20" s="231" t="s">
        <v>102</v>
      </c>
      <c r="B20" s="228">
        <f>CHARGES_PRODUITS!C9-CHARGES_PRODUITS!C4</f>
        <v>32.185490060000006</v>
      </c>
      <c r="C20" s="228">
        <f>CHARGES_PRODUITS!D9-CHARGES_PRODUITS!D4</f>
        <v>51.405355889999896</v>
      </c>
      <c r="D20" s="228">
        <f>CHARGES_PRODUITS!E9-CHARGES_PRODUITS!E4</f>
        <v>27.783540153264312</v>
      </c>
      <c r="E20" s="228">
        <f>CHARGES_PRODUITS!F9-CHARGES_PRODUITS!F4</f>
        <v>39.019337560961276</v>
      </c>
      <c r="F20" s="228">
        <f>CHARGES_PRODUITS!G9-CHARGES_PRODUITS!G4</f>
        <v>41.381062501371161</v>
      </c>
      <c r="G20" s="228">
        <f>CHARGES_PRODUITS!H9-CHARGES_PRODUITS!H4</f>
        <v>43.700916131801137</v>
      </c>
      <c r="H20" s="228">
        <f>CHARGES_PRODUITS!I9-CHARGES_PRODUITS!I4</f>
        <v>46.024589930149091</v>
      </c>
    </row>
    <row r="21" spans="1:11" x14ac:dyDescent="0.3">
      <c r="A21" s="231" t="s">
        <v>99</v>
      </c>
      <c r="B21" s="228">
        <f>CHARGES_PRODUITS!C10-CHARGES_PRODUITS!C5</f>
        <v>0</v>
      </c>
      <c r="C21" s="228">
        <f>CHARGES_PRODUITS!D10-CHARGES_PRODUITS!D5</f>
        <v>0</v>
      </c>
      <c r="D21" s="228">
        <f>CHARGES_PRODUITS!E10-CHARGES_PRODUITS!E5</f>
        <v>0</v>
      </c>
      <c r="E21" s="228">
        <f>CHARGES_PRODUITS!F10-CHARGES_PRODUITS!F5</f>
        <v>0</v>
      </c>
      <c r="F21" s="228">
        <f>CHARGES_PRODUITS!G10-CHARGES_PRODUITS!G5</f>
        <v>0</v>
      </c>
      <c r="G21" s="228">
        <f>CHARGES_PRODUITS!H10-CHARGES_PRODUITS!H5</f>
        <v>0</v>
      </c>
      <c r="H21" s="228">
        <f>CHARGES_PRODUITS!I10-CHARGES_PRODUITS!I5</f>
        <v>0</v>
      </c>
      <c r="K21"/>
    </row>
    <row r="22" spans="1:11" x14ac:dyDescent="0.3">
      <c r="A22" s="231" t="s">
        <v>100</v>
      </c>
      <c r="B22" s="228">
        <f>CHARGES_PRODUITS!C11-CHARGES_PRODUITS!C6</f>
        <v>0</v>
      </c>
      <c r="C22" s="228">
        <f>CHARGES_PRODUITS!D11-CHARGES_PRODUITS!D6</f>
        <v>0</v>
      </c>
      <c r="D22" s="228">
        <f>CHARGES_PRODUITS!E11-CHARGES_PRODUITS!E6</f>
        <v>0</v>
      </c>
      <c r="E22" s="228">
        <f>CHARGES_PRODUITS!F11-CHARGES_PRODUITS!F6</f>
        <v>0</v>
      </c>
      <c r="F22" s="228">
        <f>CHARGES_PRODUITS!G11-CHARGES_PRODUITS!G6</f>
        <v>0</v>
      </c>
      <c r="G22" s="228">
        <f>CHARGES_PRODUITS!H11-CHARGES_PRODUITS!H6</f>
        <v>0</v>
      </c>
      <c r="H22" s="228">
        <f>CHARGES_PRODUITS!I11-CHARGES_PRODUITS!I6</f>
        <v>0</v>
      </c>
      <c r="K22" s="186" t="s">
        <v>228</v>
      </c>
    </row>
    <row r="23" spans="1:11" ht="14.5" thickBot="1" x14ac:dyDescent="0.35">
      <c r="A23" s="137" t="s">
        <v>39</v>
      </c>
      <c r="B23" s="138">
        <f t="shared" ref="B23:H23" si="4">SUM(B19:B22)</f>
        <v>32.185490060000006</v>
      </c>
      <c r="C23" s="138">
        <f t="shared" si="4"/>
        <v>51.405355889999896</v>
      </c>
      <c r="D23" s="138">
        <f t="shared" si="4"/>
        <v>27.783540153264312</v>
      </c>
      <c r="E23" s="138">
        <f t="shared" si="4"/>
        <v>39.019337560961276</v>
      </c>
      <c r="F23" s="138">
        <f t="shared" si="4"/>
        <v>41.381062501371161</v>
      </c>
      <c r="G23" s="138">
        <f t="shared" si="4"/>
        <v>43.700916131801137</v>
      </c>
      <c r="H23" s="138">
        <f t="shared" si="4"/>
        <v>46.024589930149091</v>
      </c>
      <c r="K23" s="189" t="s">
        <v>140</v>
      </c>
    </row>
    <row r="24" spans="1:11" x14ac:dyDescent="0.3">
      <c r="B24" s="139">
        <f t="shared" ref="B24:H24" si="5">B5</f>
        <v>32.185490059997392</v>
      </c>
      <c r="C24" s="139">
        <f t="shared" si="5"/>
        <v>51.405355889997736</v>
      </c>
      <c r="D24" s="139">
        <f t="shared" si="5"/>
        <v>27.783540153268405</v>
      </c>
      <c r="E24" s="139">
        <f t="shared" si="5"/>
        <v>39.019337560963322</v>
      </c>
      <c r="F24" s="139">
        <f t="shared" si="5"/>
        <v>41.381062501372071</v>
      </c>
      <c r="G24" s="139">
        <f t="shared" si="5"/>
        <v>43.700916131801932</v>
      </c>
      <c r="H24" s="139">
        <f t="shared" si="5"/>
        <v>46.024589930151706</v>
      </c>
    </row>
    <row r="25" spans="1:11" ht="14.5" thickBot="1" x14ac:dyDescent="0.35">
      <c r="A25" s="15" t="s">
        <v>101</v>
      </c>
      <c r="C25" s="57">
        <f>C23-C24</f>
        <v>2.1600499167107046E-12</v>
      </c>
    </row>
    <row r="26" spans="1:11" ht="14.5" thickBot="1" x14ac:dyDescent="0.35">
      <c r="A26" s="60" t="s">
        <v>38</v>
      </c>
      <c r="B26" s="597" t="str">
        <f>B8</f>
        <v>2020/2019</v>
      </c>
      <c r="C26" s="599" t="s">
        <v>1</v>
      </c>
      <c r="D26" s="600"/>
      <c r="E26" s="600"/>
      <c r="F26" s="600"/>
      <c r="G26" s="601"/>
    </row>
    <row r="27" spans="1:11" ht="14.5" thickBot="1" x14ac:dyDescent="0.35">
      <c r="A27" s="61"/>
      <c r="B27" s="602"/>
      <c r="C27" s="135" t="str">
        <f>C9</f>
        <v>2021/2020</v>
      </c>
      <c r="D27" s="135" t="str">
        <f>D9</f>
        <v>2022/2021</v>
      </c>
      <c r="E27" s="135" t="str">
        <f>E9</f>
        <v>2023/2022</v>
      </c>
      <c r="F27" s="135" t="str">
        <f>F9</f>
        <v>2024/2023</v>
      </c>
      <c r="G27" s="135" t="str">
        <f>G9</f>
        <v>2025/2024</v>
      </c>
    </row>
    <row r="28" spans="1:11" x14ac:dyDescent="0.3">
      <c r="A28" s="136" t="s">
        <v>98</v>
      </c>
      <c r="B28" s="140" t="e">
        <f t="shared" ref="B28:G31" si="6">C19/B19-1</f>
        <v>#DIV/0!</v>
      </c>
      <c r="C28" s="140" t="e">
        <f t="shared" si="6"/>
        <v>#DIV/0!</v>
      </c>
      <c r="D28" s="140" t="e">
        <f>E19/D19-1</f>
        <v>#DIV/0!</v>
      </c>
      <c r="E28" s="140" t="e">
        <f t="shared" si="6"/>
        <v>#DIV/0!</v>
      </c>
      <c r="F28" s="140" t="e">
        <f t="shared" si="6"/>
        <v>#DIV/0!</v>
      </c>
      <c r="G28" s="140" t="e">
        <f t="shared" si="6"/>
        <v>#DIV/0!</v>
      </c>
    </row>
    <row r="29" spans="1:11" x14ac:dyDescent="0.3">
      <c r="A29" s="136" t="s">
        <v>102</v>
      </c>
      <c r="B29" s="140">
        <f t="shared" si="6"/>
        <v>0.59715933466199611</v>
      </c>
      <c r="C29" s="140">
        <f t="shared" si="6"/>
        <v>-0.45952051742006983</v>
      </c>
      <c r="D29" s="140">
        <f t="shared" si="6"/>
        <v>0.4044048147110173</v>
      </c>
      <c r="E29" s="140">
        <f t="shared" si="6"/>
        <v>6.0527038336314121E-2</v>
      </c>
      <c r="F29" s="140">
        <f t="shared" si="6"/>
        <v>5.6060755577581167E-2</v>
      </c>
      <c r="G29" s="140">
        <f t="shared" si="6"/>
        <v>5.3172198755280009E-2</v>
      </c>
    </row>
    <row r="30" spans="1:11" x14ac:dyDescent="0.3">
      <c r="A30" s="136" t="s">
        <v>99</v>
      </c>
      <c r="B30" s="140" t="e">
        <f t="shared" si="6"/>
        <v>#DIV/0!</v>
      </c>
      <c r="C30" s="140" t="e">
        <f t="shared" si="6"/>
        <v>#DIV/0!</v>
      </c>
      <c r="D30" s="140" t="e">
        <f t="shared" si="6"/>
        <v>#DIV/0!</v>
      </c>
      <c r="E30" s="140" t="e">
        <f t="shared" si="6"/>
        <v>#DIV/0!</v>
      </c>
      <c r="F30" s="140" t="e">
        <f t="shared" si="6"/>
        <v>#DIV/0!</v>
      </c>
      <c r="G30" s="140" t="e">
        <f t="shared" si="6"/>
        <v>#DIV/0!</v>
      </c>
    </row>
    <row r="31" spans="1:11" x14ac:dyDescent="0.3">
      <c r="A31" s="136" t="s">
        <v>100</v>
      </c>
      <c r="B31" s="140" t="e">
        <f t="shared" si="6"/>
        <v>#DIV/0!</v>
      </c>
      <c r="C31" s="140" t="e">
        <f t="shared" si="6"/>
        <v>#DIV/0!</v>
      </c>
      <c r="D31" s="140" t="e">
        <f t="shared" si="6"/>
        <v>#DIV/0!</v>
      </c>
      <c r="E31" s="140" t="e">
        <f t="shared" si="6"/>
        <v>#DIV/0!</v>
      </c>
      <c r="F31" s="140" t="e">
        <f t="shared" si="6"/>
        <v>#DIV/0!</v>
      </c>
      <c r="G31" s="140" t="e">
        <f t="shared" si="6"/>
        <v>#DIV/0!</v>
      </c>
    </row>
    <row r="32" spans="1:11" ht="14.5" thickBot="1" x14ac:dyDescent="0.35">
      <c r="A32" s="137" t="s">
        <v>39</v>
      </c>
      <c r="B32" s="141">
        <f t="shared" ref="B32:G32" si="7">C23/B23-1</f>
        <v>0.59715933466199611</v>
      </c>
      <c r="C32" s="141">
        <f>D23/C23-1</f>
        <v>-0.45952051742006983</v>
      </c>
      <c r="D32" s="141">
        <f t="shared" si="7"/>
        <v>0.4044048147110173</v>
      </c>
      <c r="E32" s="141">
        <f t="shared" si="7"/>
        <v>6.0527038336314121E-2</v>
      </c>
      <c r="F32" s="141">
        <f t="shared" si="7"/>
        <v>5.6060755577581167E-2</v>
      </c>
      <c r="G32" s="141">
        <f t="shared" si="7"/>
        <v>5.3172198755280009E-2</v>
      </c>
    </row>
    <row r="33" spans="1:8" x14ac:dyDescent="0.3">
      <c r="B33" s="144">
        <f t="shared" ref="B33:G33" si="8">B12</f>
        <v>0.59715933466205873</v>
      </c>
      <c r="C33" s="144">
        <f t="shared" si="8"/>
        <v>-0.45952051741996747</v>
      </c>
      <c r="D33" s="144">
        <f t="shared" si="8"/>
        <v>0.40440481471088408</v>
      </c>
      <c r="E33" s="144">
        <f t="shared" si="8"/>
        <v>6.0527038336281924E-2</v>
      </c>
      <c r="F33" s="144">
        <f t="shared" si="8"/>
        <v>5.606075557757717E-2</v>
      </c>
      <c r="G33" s="144">
        <f t="shared" si="8"/>
        <v>5.3172198755320643E-2</v>
      </c>
    </row>
    <row r="34" spans="1:8" ht="14.5" thickBot="1" x14ac:dyDescent="0.35">
      <c r="A34" s="15" t="s">
        <v>94</v>
      </c>
    </row>
    <row r="35" spans="1:8" ht="14.5" thickBot="1" x14ac:dyDescent="0.35">
      <c r="A35" s="60" t="s">
        <v>38</v>
      </c>
      <c r="B35" s="597">
        <f>C17</f>
        <v>2020</v>
      </c>
      <c r="C35" s="599" t="s">
        <v>1</v>
      </c>
      <c r="D35" s="600"/>
      <c r="E35" s="600"/>
      <c r="F35" s="600"/>
      <c r="G35" s="601"/>
    </row>
    <row r="36" spans="1:8" ht="14.5" thickBot="1" x14ac:dyDescent="0.35">
      <c r="A36" s="61"/>
      <c r="B36" s="602"/>
      <c r="C36" s="135" t="str">
        <f>D18</f>
        <v>2021(p)</v>
      </c>
      <c r="D36" s="135" t="str">
        <f>E18</f>
        <v>2022(p)</v>
      </c>
      <c r="E36" s="135" t="str">
        <f>F18</f>
        <v>2023(p)</v>
      </c>
      <c r="F36" s="135" t="str">
        <f>G18</f>
        <v>2024(p)</v>
      </c>
      <c r="G36" s="135" t="str">
        <f>H18</f>
        <v>2025(p)</v>
      </c>
    </row>
    <row r="37" spans="1:8" x14ac:dyDescent="0.3">
      <c r="A37" s="136" t="s">
        <v>98</v>
      </c>
      <c r="B37" s="142" t="e">
        <f t="shared" ref="B37:G37" si="9">(B19/B$23)*B28*100</f>
        <v>#DIV/0!</v>
      </c>
      <c r="C37" s="142" t="e">
        <f t="shared" si="9"/>
        <v>#DIV/0!</v>
      </c>
      <c r="D37" s="142" t="e">
        <f t="shared" si="9"/>
        <v>#DIV/0!</v>
      </c>
      <c r="E37" s="142" t="e">
        <f t="shared" si="9"/>
        <v>#DIV/0!</v>
      </c>
      <c r="F37" s="142" t="e">
        <f t="shared" si="9"/>
        <v>#DIV/0!</v>
      </c>
      <c r="G37" s="142" t="e">
        <f t="shared" si="9"/>
        <v>#DIV/0!</v>
      </c>
    </row>
    <row r="38" spans="1:8" x14ac:dyDescent="0.3">
      <c r="A38" s="136" t="s">
        <v>102</v>
      </c>
      <c r="B38" s="142">
        <f t="shared" ref="B38:G38" si="10">(B20/B$23)*B29*100</f>
        <v>59.715933466199608</v>
      </c>
      <c r="C38" s="142">
        <f t="shared" si="10"/>
        <v>-45.952051742006987</v>
      </c>
      <c r="D38" s="142">
        <f t="shared" si="10"/>
        <v>40.440481471101734</v>
      </c>
      <c r="E38" s="142">
        <f t="shared" si="10"/>
        <v>6.0527038336314121</v>
      </c>
      <c r="F38" s="142">
        <f t="shared" si="10"/>
        <v>5.6060755577581167</v>
      </c>
      <c r="G38" s="142">
        <f t="shared" si="10"/>
        <v>5.3172198755280009</v>
      </c>
    </row>
    <row r="39" spans="1:8" x14ac:dyDescent="0.3">
      <c r="A39" s="136" t="s">
        <v>99</v>
      </c>
      <c r="B39" s="142" t="e">
        <f t="shared" ref="B39:G39" si="11">(B21/B$23)*B30*100</f>
        <v>#DIV/0!</v>
      </c>
      <c r="C39" s="142" t="e">
        <f t="shared" si="11"/>
        <v>#DIV/0!</v>
      </c>
      <c r="D39" s="142" t="e">
        <f t="shared" si="11"/>
        <v>#DIV/0!</v>
      </c>
      <c r="E39" s="142" t="e">
        <f t="shared" si="11"/>
        <v>#DIV/0!</v>
      </c>
      <c r="F39" s="142" t="e">
        <f t="shared" si="11"/>
        <v>#DIV/0!</v>
      </c>
      <c r="G39" s="142" t="e">
        <f t="shared" si="11"/>
        <v>#DIV/0!</v>
      </c>
    </row>
    <row r="40" spans="1:8" x14ac:dyDescent="0.3">
      <c r="A40" s="136" t="s">
        <v>100</v>
      </c>
      <c r="B40" s="142" t="e">
        <f t="shared" ref="B40:G40" si="12">(B22/B$23)*B31*100</f>
        <v>#DIV/0!</v>
      </c>
      <c r="C40" s="142" t="e">
        <f t="shared" si="12"/>
        <v>#DIV/0!</v>
      </c>
      <c r="D40" s="142" t="e">
        <f t="shared" si="12"/>
        <v>#DIV/0!</v>
      </c>
      <c r="E40" s="142" t="e">
        <f t="shared" si="12"/>
        <v>#DIV/0!</v>
      </c>
      <c r="F40" s="142" t="e">
        <f t="shared" si="12"/>
        <v>#DIV/0!</v>
      </c>
      <c r="G40" s="142" t="e">
        <f t="shared" si="12"/>
        <v>#DIV/0!</v>
      </c>
    </row>
    <row r="41" spans="1:8" ht="14.5" thickBot="1" x14ac:dyDescent="0.35">
      <c r="A41" s="137" t="s">
        <v>39</v>
      </c>
      <c r="B41" s="143">
        <f t="shared" ref="B41:G41" si="13">(B23/B$23)*B32*100</f>
        <v>59.715933466199608</v>
      </c>
      <c r="C41" s="143">
        <f t="shared" si="13"/>
        <v>-45.952051742006987</v>
      </c>
      <c r="D41" s="143">
        <f t="shared" si="13"/>
        <v>40.440481471101734</v>
      </c>
      <c r="E41" s="143">
        <f t="shared" si="13"/>
        <v>6.0527038336314121</v>
      </c>
      <c r="F41" s="143">
        <f t="shared" si="13"/>
        <v>5.6060755577581167</v>
      </c>
      <c r="G41" s="143">
        <f t="shared" si="13"/>
        <v>5.3172198755280009</v>
      </c>
    </row>
    <row r="43" spans="1:8" ht="14.5" thickBot="1" x14ac:dyDescent="0.35">
      <c r="A43" s="224"/>
      <c r="G43" s="230"/>
    </row>
    <row r="44" spans="1:8" x14ac:dyDescent="0.3">
      <c r="A44" s="592" t="s">
        <v>147</v>
      </c>
      <c r="B44" s="594">
        <f>B17</f>
        <v>2019</v>
      </c>
      <c r="C44" s="594">
        <f>C17</f>
        <v>2020</v>
      </c>
      <c r="D44" s="589" t="str">
        <f>C36</f>
        <v>2021(p)</v>
      </c>
      <c r="E44" s="589" t="str">
        <f>D36</f>
        <v>2022(p)</v>
      </c>
      <c r="F44" s="589" t="str">
        <f>E36</f>
        <v>2023(p)</v>
      </c>
      <c r="G44" s="589" t="str">
        <f>F36</f>
        <v>2024(p)</v>
      </c>
      <c r="H44" s="589" t="str">
        <f>G36</f>
        <v>2025(p)</v>
      </c>
    </row>
    <row r="45" spans="1:8" x14ac:dyDescent="0.3">
      <c r="A45" s="592"/>
      <c r="B45" s="595"/>
      <c r="C45" s="595"/>
      <c r="D45" s="590"/>
      <c r="E45" s="590"/>
      <c r="F45" s="590"/>
      <c r="G45" s="590"/>
      <c r="H45" s="590"/>
    </row>
    <row r="46" spans="1:8" ht="14.5" thickBot="1" x14ac:dyDescent="0.35">
      <c r="A46" s="593"/>
      <c r="B46" s="596"/>
      <c r="C46" s="596"/>
      <c r="D46" s="591"/>
      <c r="E46" s="591"/>
      <c r="F46" s="591"/>
      <c r="G46" s="591"/>
      <c r="H46" s="591"/>
    </row>
    <row r="47" spans="1:8" ht="14.5" thickBot="1" x14ac:dyDescent="0.35">
      <c r="A47" s="192" t="s">
        <v>148</v>
      </c>
      <c r="B47" s="229">
        <f t="shared" ref="B47:H47" si="14">-ROUND(B19,1)</f>
        <v>0</v>
      </c>
      <c r="C47" s="193">
        <f t="shared" si="14"/>
        <v>0</v>
      </c>
      <c r="D47" s="193">
        <f t="shared" si="14"/>
        <v>0</v>
      </c>
      <c r="E47" s="193">
        <f t="shared" si="14"/>
        <v>0</v>
      </c>
      <c r="F47" s="193">
        <f t="shared" si="14"/>
        <v>0</v>
      </c>
      <c r="G47" s="193">
        <f t="shared" si="14"/>
        <v>0</v>
      </c>
      <c r="H47" s="193">
        <f t="shared" si="14"/>
        <v>0</v>
      </c>
    </row>
    <row r="48" spans="1:8" ht="14.5" thickBot="1" x14ac:dyDescent="0.35">
      <c r="A48" s="194" t="s">
        <v>149</v>
      </c>
      <c r="B48" s="229">
        <f t="shared" ref="B48:H49" si="15">-ROUND(B21,1)</f>
        <v>0</v>
      </c>
      <c r="C48" s="195">
        <f t="shared" si="15"/>
        <v>0</v>
      </c>
      <c r="D48" s="195">
        <f t="shared" si="15"/>
        <v>0</v>
      </c>
      <c r="E48" s="195">
        <f t="shared" si="15"/>
        <v>0</v>
      </c>
      <c r="F48" s="195">
        <f t="shared" si="15"/>
        <v>0</v>
      </c>
      <c r="G48" s="195">
        <f t="shared" si="15"/>
        <v>0</v>
      </c>
      <c r="H48" s="195">
        <f t="shared" si="15"/>
        <v>0</v>
      </c>
    </row>
    <row r="49" spans="1:9" ht="14.5" thickBot="1" x14ac:dyDescent="0.35">
      <c r="A49" s="192" t="s">
        <v>151</v>
      </c>
      <c r="B49" s="229">
        <f t="shared" si="15"/>
        <v>0</v>
      </c>
      <c r="C49" s="193">
        <f t="shared" si="15"/>
        <v>0</v>
      </c>
      <c r="D49" s="193">
        <f t="shared" si="15"/>
        <v>0</v>
      </c>
      <c r="E49" s="193">
        <f t="shared" si="15"/>
        <v>0</v>
      </c>
      <c r="F49" s="193">
        <f t="shared" si="15"/>
        <v>0</v>
      </c>
      <c r="G49" s="193">
        <f t="shared" si="15"/>
        <v>0</v>
      </c>
      <c r="H49" s="193">
        <f t="shared" si="15"/>
        <v>0</v>
      </c>
      <c r="I49" s="134"/>
    </row>
    <row r="50" spans="1:9" ht="14.5" thickBot="1" x14ac:dyDescent="0.35">
      <c r="A50" s="196" t="s">
        <v>150</v>
      </c>
      <c r="B50" s="197">
        <f t="shared" ref="B50:H50" si="16">SUM(B47:B49)</f>
        <v>0</v>
      </c>
      <c r="C50" s="197">
        <f t="shared" si="16"/>
        <v>0</v>
      </c>
      <c r="D50" s="197">
        <f t="shared" si="16"/>
        <v>0</v>
      </c>
      <c r="E50" s="197">
        <f t="shared" si="16"/>
        <v>0</v>
      </c>
      <c r="F50" s="197">
        <f t="shared" si="16"/>
        <v>0</v>
      </c>
      <c r="G50" s="197">
        <f t="shared" si="16"/>
        <v>0</v>
      </c>
      <c r="H50" s="197">
        <f t="shared" si="16"/>
        <v>0</v>
      </c>
    </row>
  </sheetData>
  <mergeCells count="20">
    <mergeCell ref="B26:B27"/>
    <mergeCell ref="C26:G26"/>
    <mergeCell ref="B35:B36"/>
    <mergeCell ref="C35:G35"/>
    <mergeCell ref="C8:G8"/>
    <mergeCell ref="B1:B2"/>
    <mergeCell ref="C1:C2"/>
    <mergeCell ref="D1:H1"/>
    <mergeCell ref="B8:B9"/>
    <mergeCell ref="B17:B18"/>
    <mergeCell ref="C17:C18"/>
    <mergeCell ref="D17:H17"/>
    <mergeCell ref="F44:F46"/>
    <mergeCell ref="G44:G46"/>
    <mergeCell ref="H44:H46"/>
    <mergeCell ref="A44:A46"/>
    <mergeCell ref="B44:B46"/>
    <mergeCell ref="C44:C46"/>
    <mergeCell ref="D44:D46"/>
    <mergeCell ref="E44:E4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workbookViewId="0"/>
  </sheetViews>
  <sheetFormatPr baseColWidth="10" defaultColWidth="11.453125" defaultRowHeight="11.5" x14ac:dyDescent="0.25"/>
  <cols>
    <col min="1" max="1" width="21.7265625" style="257" customWidth="1"/>
    <col min="2" max="2" width="15.54296875" style="257" customWidth="1"/>
    <col min="3" max="4" width="11.453125" style="257"/>
    <col min="5" max="5" width="12.453125" style="257" customWidth="1"/>
    <col min="6" max="7" width="11.453125" style="257"/>
    <col min="8" max="8" width="11.54296875" style="257" bestFit="1" customWidth="1"/>
    <col min="9" max="10" width="11.453125" style="257"/>
    <col min="11" max="11" width="12.453125" style="257" bestFit="1" customWidth="1"/>
    <col min="12" max="12" width="13.7265625" style="257" bestFit="1" customWidth="1"/>
    <col min="13" max="13" width="40.7265625" style="257" customWidth="1"/>
    <col min="14" max="15" width="0" style="257" hidden="1" customWidth="1"/>
    <col min="16" max="16384" width="11.453125" style="257"/>
  </cols>
  <sheetData>
    <row r="1" spans="1:17" x14ac:dyDescent="0.25">
      <c r="E1" s="258">
        <f>(E8+E11+E14+E17)</f>
        <v>463724.62501127349</v>
      </c>
      <c r="N1" s="258">
        <f>(E8+E11+E14+E17)</f>
        <v>463724.62501127349</v>
      </c>
    </row>
    <row r="2" spans="1:17" ht="13" x14ac:dyDescent="0.3">
      <c r="A2" s="259" t="s">
        <v>181</v>
      </c>
      <c r="E2" s="389">
        <f>E1/E20</f>
        <v>0.3483694389899088</v>
      </c>
      <c r="N2" s="260">
        <f>N1/E20</f>
        <v>0.3483694389899088</v>
      </c>
    </row>
    <row r="3" spans="1:17" x14ac:dyDescent="0.25">
      <c r="A3" s="261"/>
      <c r="E3" s="262">
        <f>E9+E12+E15+E18</f>
        <v>867404.26607582928</v>
      </c>
      <c r="N3" s="262">
        <f>E9+E12+E15+E18</f>
        <v>867404.26607582928</v>
      </c>
    </row>
    <row r="4" spans="1:17" x14ac:dyDescent="0.25">
      <c r="A4" s="390" t="s">
        <v>229</v>
      </c>
      <c r="B4" s="391"/>
      <c r="C4" s="391"/>
      <c r="D4" s="391"/>
      <c r="E4" s="392">
        <f>E3/E20</f>
        <v>0.65163056101009109</v>
      </c>
      <c r="N4" s="263">
        <f>N3/E20</f>
        <v>0.65163056101009109</v>
      </c>
    </row>
    <row r="5" spans="1:17" ht="7.5" customHeight="1" thickBot="1" x14ac:dyDescent="0.3">
      <c r="A5" s="264"/>
      <c r="B5" s="265"/>
    </row>
    <row r="6" spans="1:17" ht="13" thickTop="1" thickBot="1" x14ac:dyDescent="0.3">
      <c r="A6" s="611" t="s">
        <v>182</v>
      </c>
      <c r="B6" s="612"/>
      <c r="C6" s="372" t="s">
        <v>183</v>
      </c>
      <c r="D6" s="372" t="s">
        <v>183</v>
      </c>
      <c r="E6" s="603" t="s">
        <v>1</v>
      </c>
      <c r="F6" s="604"/>
      <c r="G6" s="604"/>
      <c r="H6" s="604"/>
      <c r="I6" s="605"/>
    </row>
    <row r="7" spans="1:17" ht="12.5" thickBot="1" x14ac:dyDescent="0.3">
      <c r="A7" s="613"/>
      <c r="B7" s="614"/>
      <c r="C7" s="266">
        <v>2019</v>
      </c>
      <c r="D7" s="266">
        <f t="shared" ref="D7:I7" si="0">C7+1</f>
        <v>2020</v>
      </c>
      <c r="E7" s="266">
        <f t="shared" si="0"/>
        <v>2021</v>
      </c>
      <c r="F7" s="266">
        <f t="shared" si="0"/>
        <v>2022</v>
      </c>
      <c r="G7" s="266">
        <f t="shared" si="0"/>
        <v>2023</v>
      </c>
      <c r="H7" s="266">
        <f t="shared" si="0"/>
        <v>2024</v>
      </c>
      <c r="I7" s="266">
        <f t="shared" si="0"/>
        <v>2025</v>
      </c>
      <c r="J7" s="257">
        <v>2020</v>
      </c>
      <c r="N7" s="257">
        <v>2020</v>
      </c>
    </row>
    <row r="8" spans="1:17" ht="12" x14ac:dyDescent="0.25">
      <c r="A8" s="606" t="s">
        <v>184</v>
      </c>
      <c r="B8" s="269" t="s">
        <v>230</v>
      </c>
      <c r="C8" s="270">
        <f>'[5]Cotisations SA - Tableaux 1à4'!$C$9</f>
        <v>323540.5880745445</v>
      </c>
      <c r="D8" s="393">
        <v>307070.72499999998</v>
      </c>
      <c r="E8" s="394">
        <v>291751.81626204459</v>
      </c>
      <c r="F8" s="394">
        <v>297250.33182489499</v>
      </c>
      <c r="G8" s="394">
        <v>301234.03548909101</v>
      </c>
      <c r="H8" s="394">
        <v>306331.28507120314</v>
      </c>
      <c r="I8" s="394">
        <v>311960.5211271455</v>
      </c>
      <c r="J8" s="389">
        <f>E8/E10</f>
        <v>0.50060412637131058</v>
      </c>
      <c r="N8" s="395">
        <f>E8/E10</f>
        <v>0.50060412637131058</v>
      </c>
    </row>
    <row r="9" spans="1:17" ht="12" customHeight="1" x14ac:dyDescent="0.25">
      <c r="A9" s="607"/>
      <c r="B9" s="269" t="s">
        <v>185</v>
      </c>
      <c r="C9" s="270">
        <f>'[5]Cotisations SA - Tableaux 1à4'!$C$10</f>
        <v>294041.22193930397</v>
      </c>
      <c r="D9" s="393">
        <v>283172.89299999998</v>
      </c>
      <c r="E9" s="394">
        <v>291047.647211904</v>
      </c>
      <c r="F9" s="394">
        <v>295180.77872630226</v>
      </c>
      <c r="G9" s="394">
        <v>300062.17480842874</v>
      </c>
      <c r="H9" s="394">
        <v>303449.91100403247</v>
      </c>
      <c r="I9" s="394">
        <v>305811.01976132428</v>
      </c>
      <c r="J9" s="389">
        <f>E9/E10</f>
        <v>0.49939587362868931</v>
      </c>
      <c r="L9" s="271"/>
      <c r="M9" s="271"/>
      <c r="N9" s="260">
        <f>E9/E10</f>
        <v>0.49939587362868931</v>
      </c>
      <c r="P9" s="272"/>
      <c r="Q9" s="272"/>
    </row>
    <row r="10" spans="1:17" ht="12.75" customHeight="1" thickBot="1" x14ac:dyDescent="0.3">
      <c r="A10" s="608"/>
      <c r="B10" s="273" t="s">
        <v>186</v>
      </c>
      <c r="C10" s="274">
        <f t="shared" ref="C10:I10" si="1">C8+C9</f>
        <v>617581.81001384847</v>
      </c>
      <c r="D10" s="274">
        <f t="shared" si="1"/>
        <v>590243.61800000002</v>
      </c>
      <c r="E10" s="274">
        <f t="shared" si="1"/>
        <v>582799.46347394865</v>
      </c>
      <c r="F10" s="274">
        <f t="shared" si="1"/>
        <v>592431.11055119731</v>
      </c>
      <c r="G10" s="274">
        <f t="shared" si="1"/>
        <v>601296.21029751981</v>
      </c>
      <c r="H10" s="274">
        <f t="shared" si="1"/>
        <v>609781.19607523561</v>
      </c>
      <c r="I10" s="396">
        <f t="shared" si="1"/>
        <v>617771.54088846978</v>
      </c>
      <c r="J10" s="392">
        <f>SUM(J8:J9)</f>
        <v>0.99999999999999989</v>
      </c>
      <c r="K10" s="397">
        <f>E8/E21</f>
        <v>0.62914885370806417</v>
      </c>
      <c r="L10" s="271"/>
      <c r="M10" s="271"/>
      <c r="N10" s="263">
        <f>N8+N9</f>
        <v>0.99999999999999989</v>
      </c>
    </row>
    <row r="11" spans="1:17" ht="12.75" customHeight="1" x14ac:dyDescent="0.25">
      <c r="A11" s="606" t="s">
        <v>187</v>
      </c>
      <c r="B11" s="267" t="s">
        <v>188</v>
      </c>
      <c r="C11" s="268">
        <f>'[5]Cotisations SA - Tableaux 1à4'!$C$12</f>
        <v>59741.160462512846</v>
      </c>
      <c r="D11" s="398">
        <v>51733.008000000002</v>
      </c>
      <c r="E11" s="399">
        <v>50902.109967369644</v>
      </c>
      <c r="F11" s="399">
        <v>52873.345308105454</v>
      </c>
      <c r="G11" s="399">
        <v>53274.226750467744</v>
      </c>
      <c r="H11" s="399">
        <v>55356.526826861424</v>
      </c>
      <c r="I11" s="399">
        <v>55979.268768202528</v>
      </c>
      <c r="J11" s="389">
        <f>E11/E13</f>
        <v>0.21775978642702018</v>
      </c>
      <c r="K11" s="400"/>
      <c r="L11" s="271"/>
      <c r="M11" s="271"/>
      <c r="N11" s="277">
        <f>E11/E12</f>
        <v>0.27837968778461947</v>
      </c>
      <c r="O11" s="401">
        <f>E10/E20</f>
        <v>0.43782346501245983</v>
      </c>
    </row>
    <row r="12" spans="1:17" ht="12" x14ac:dyDescent="0.25">
      <c r="A12" s="607"/>
      <c r="B12" s="269" t="s">
        <v>185</v>
      </c>
      <c r="C12" s="270">
        <f>'[5]Cotisations SA - Tableaux 1à4'!$C$13</f>
        <v>173446.02258238001</v>
      </c>
      <c r="D12" s="393">
        <v>178333.52900000001</v>
      </c>
      <c r="E12" s="394">
        <v>182851.37961197898</v>
      </c>
      <c r="F12" s="394">
        <v>184645.81965273977</v>
      </c>
      <c r="G12" s="394">
        <v>187539.91160666361</v>
      </c>
      <c r="H12" s="394">
        <v>188937.4418392246</v>
      </c>
      <c r="I12" s="394">
        <v>191149.14002953839</v>
      </c>
      <c r="J12" s="389">
        <f>E12/E13</f>
        <v>0.78224021357297979</v>
      </c>
      <c r="L12" s="271"/>
      <c r="M12" s="271"/>
      <c r="N12" s="260">
        <f>E12/E13</f>
        <v>0.78224021357297979</v>
      </c>
      <c r="O12" s="277"/>
    </row>
    <row r="13" spans="1:17" ht="12.5" thickBot="1" x14ac:dyDescent="0.3">
      <c r="A13" s="608"/>
      <c r="B13" s="273" t="s">
        <v>186</v>
      </c>
      <c r="C13" s="274">
        <f>C11+C12</f>
        <v>233187.18304489285</v>
      </c>
      <c r="D13" s="276">
        <f t="shared" ref="D13:I13" si="2">D11+D12</f>
        <v>230066.53700000001</v>
      </c>
      <c r="E13" s="274">
        <f t="shared" si="2"/>
        <v>233753.48957934862</v>
      </c>
      <c r="F13" s="274">
        <f t="shared" si="2"/>
        <v>237519.16496084523</v>
      </c>
      <c r="G13" s="274">
        <f t="shared" si="2"/>
        <v>240814.13835713133</v>
      </c>
      <c r="H13" s="274">
        <f t="shared" si="2"/>
        <v>244293.96866608603</v>
      </c>
      <c r="I13" s="396">
        <f t="shared" si="2"/>
        <v>247128.40879774094</v>
      </c>
      <c r="J13" s="392">
        <f>SUM(J11:J12)</f>
        <v>1</v>
      </c>
      <c r="K13" s="397">
        <f>E11/E21</f>
        <v>0.10976796836297442</v>
      </c>
      <c r="N13" s="263">
        <f>N11+N12</f>
        <v>1.0606199013575992</v>
      </c>
    </row>
    <row r="14" spans="1:17" ht="12" x14ac:dyDescent="0.25">
      <c r="A14" s="606" t="s">
        <v>189</v>
      </c>
      <c r="B14" s="267" t="s">
        <v>188</v>
      </c>
      <c r="C14" s="268">
        <f>'[5]Cotisations SA - Tableaux 1à4'!$C$15</f>
        <v>72423.369387718441</v>
      </c>
      <c r="D14" s="398">
        <v>58991.892999999996</v>
      </c>
      <c r="E14" s="399">
        <v>57321.167102609768</v>
      </c>
      <c r="F14" s="399">
        <v>56619.561905727831</v>
      </c>
      <c r="G14" s="399">
        <v>59543.307617332568</v>
      </c>
      <c r="H14" s="399">
        <v>58557.863420255766</v>
      </c>
      <c r="I14" s="399">
        <v>57702.736231009301</v>
      </c>
      <c r="J14" s="389">
        <f>E14/E16</f>
        <v>0.17113202928952201</v>
      </c>
      <c r="K14" s="400"/>
      <c r="N14" s="277">
        <f>E14/E16</f>
        <v>0.17113202928952201</v>
      </c>
      <c r="O14" s="401">
        <f>E13/E20</f>
        <v>0.17560545124104956</v>
      </c>
    </row>
    <row r="15" spans="1:17" ht="12" x14ac:dyDescent="0.25">
      <c r="A15" s="607"/>
      <c r="B15" s="269" t="s">
        <v>185</v>
      </c>
      <c r="C15" s="270">
        <f>'[5]Cotisations SA - Tableaux 1à4'!$C$16</f>
        <v>262269.50640861265</v>
      </c>
      <c r="D15" s="393">
        <v>270176.41899999999</v>
      </c>
      <c r="E15" s="394">
        <v>277631.71892688703</v>
      </c>
      <c r="F15" s="394">
        <v>280677.61490236153</v>
      </c>
      <c r="G15" s="394">
        <v>276698.12498034479</v>
      </c>
      <c r="H15" s="394">
        <v>276492.51795784297</v>
      </c>
      <c r="I15" s="394">
        <v>276977.04039170663</v>
      </c>
      <c r="J15" s="389">
        <f>E15/E16</f>
        <v>0.82886797071047802</v>
      </c>
      <c r="K15" s="400"/>
      <c r="N15" s="260">
        <f>E15/E16</f>
        <v>0.82886797071047802</v>
      </c>
      <c r="O15" s="277"/>
    </row>
    <row r="16" spans="1:17" ht="12.5" thickBot="1" x14ac:dyDescent="0.3">
      <c r="A16" s="608"/>
      <c r="B16" s="273" t="s">
        <v>186</v>
      </c>
      <c r="C16" s="274">
        <f>C14+C15</f>
        <v>334692.87579633109</v>
      </c>
      <c r="D16" s="276">
        <f t="shared" ref="D16:I16" si="3">D14+D15</f>
        <v>329168.31199999998</v>
      </c>
      <c r="E16" s="274">
        <f t="shared" si="3"/>
        <v>334952.88602949679</v>
      </c>
      <c r="F16" s="274">
        <f t="shared" si="3"/>
        <v>337297.17680808937</v>
      </c>
      <c r="G16" s="274">
        <f t="shared" si="3"/>
        <v>336241.43259767734</v>
      </c>
      <c r="H16" s="274">
        <f t="shared" si="3"/>
        <v>335050.38137809874</v>
      </c>
      <c r="I16" s="396">
        <f t="shared" si="3"/>
        <v>334679.77662271593</v>
      </c>
      <c r="J16" s="392">
        <f>SUM(J14:J15)</f>
        <v>1</v>
      </c>
      <c r="K16" s="397">
        <f>E14/E21</f>
        <v>0.1236103584130695</v>
      </c>
      <c r="N16" s="263">
        <f>SUM(N14:N15)</f>
        <v>1</v>
      </c>
      <c r="O16" s="277"/>
    </row>
    <row r="17" spans="1:15" ht="12" x14ac:dyDescent="0.25">
      <c r="A17" s="620" t="s">
        <v>190</v>
      </c>
      <c r="B17" s="269" t="s">
        <v>188</v>
      </c>
      <c r="C17" s="270">
        <f>'[5]Cotisations SA - Tableaux 1à4'!$C$18</f>
        <v>65827.048273472828</v>
      </c>
      <c r="D17" s="398">
        <v>60009.616000000002</v>
      </c>
      <c r="E17" s="394">
        <v>63749.531679249478</v>
      </c>
      <c r="F17" s="394">
        <v>66397.580647990428</v>
      </c>
      <c r="G17" s="394">
        <v>67617.078608989133</v>
      </c>
      <c r="H17" s="394">
        <v>68618.999647178323</v>
      </c>
      <c r="I17" s="394">
        <v>69842.117469775345</v>
      </c>
      <c r="J17" s="389">
        <f>E17/E19</f>
        <v>0.35490729596176912</v>
      </c>
      <c r="K17" s="400"/>
      <c r="N17" s="277">
        <f>E17/E19</f>
        <v>0.35490729596176912</v>
      </c>
      <c r="O17" s="401">
        <f>E16/E20</f>
        <v>0.25163069352055634</v>
      </c>
    </row>
    <row r="18" spans="1:15" ht="12" x14ac:dyDescent="0.25">
      <c r="A18" s="607"/>
      <c r="B18" s="278" t="s">
        <v>185</v>
      </c>
      <c r="C18" s="270">
        <f>'[5]Cotisations SA - Tableaux 1à4'!$C$19</f>
        <v>105584.06124473555</v>
      </c>
      <c r="D18" s="393">
        <v>113233.02499999999</v>
      </c>
      <c r="E18" s="402">
        <v>115873.52032505935</v>
      </c>
      <c r="F18" s="403">
        <v>118157.82329955792</v>
      </c>
      <c r="G18" s="403">
        <v>121582.61720011389</v>
      </c>
      <c r="H18" s="403">
        <v>123471.51687671465</v>
      </c>
      <c r="I18" s="403">
        <v>124808.42884836826</v>
      </c>
      <c r="J18" s="389">
        <f>E18/E19</f>
        <v>0.64509270403823094</v>
      </c>
      <c r="K18" s="400"/>
      <c r="N18" s="260">
        <f>E18/E19</f>
        <v>0.64509270403823094</v>
      </c>
      <c r="O18" s="277"/>
    </row>
    <row r="19" spans="1:15" ht="12.5" thickBot="1" x14ac:dyDescent="0.3">
      <c r="A19" s="608"/>
      <c r="B19" s="273" t="s">
        <v>186</v>
      </c>
      <c r="C19" s="274">
        <f>C17+C18</f>
        <v>171411.10951820837</v>
      </c>
      <c r="D19" s="276">
        <f t="shared" ref="D19:I19" si="4">D17+D18</f>
        <v>173242.641</v>
      </c>
      <c r="E19" s="274">
        <f t="shared" si="4"/>
        <v>179623.05200430882</v>
      </c>
      <c r="F19" s="274">
        <f t="shared" si="4"/>
        <v>184555.40394754836</v>
      </c>
      <c r="G19" s="274">
        <f t="shared" si="4"/>
        <v>189199.69580910302</v>
      </c>
      <c r="H19" s="274">
        <f t="shared" si="4"/>
        <v>192090.51652389299</v>
      </c>
      <c r="I19" s="396">
        <f t="shared" si="4"/>
        <v>194650.54631814361</v>
      </c>
      <c r="J19" s="392">
        <f>SUM(J17:J18)</f>
        <v>1</v>
      </c>
      <c r="K19" s="397">
        <f>E17/E21</f>
        <v>0.13747281951589196</v>
      </c>
      <c r="N19" s="263">
        <f>SUM(N17:N18)</f>
        <v>1</v>
      </c>
      <c r="O19" s="277"/>
    </row>
    <row r="20" spans="1:15" ht="13.5" thickBot="1" x14ac:dyDescent="0.3">
      <c r="A20" s="370" t="s">
        <v>191</v>
      </c>
      <c r="B20" s="371"/>
      <c r="C20" s="279">
        <f>C10+C13+C16+C19</f>
        <v>1356872.9783732807</v>
      </c>
      <c r="D20" s="280">
        <f t="shared" ref="D20:I20" si="5">D10+D13+D16+D19</f>
        <v>1322721.108</v>
      </c>
      <c r="E20" s="281">
        <f t="shared" si="5"/>
        <v>1331128.8910871029</v>
      </c>
      <c r="F20" s="281">
        <f t="shared" si="5"/>
        <v>1351802.8562676804</v>
      </c>
      <c r="G20" s="281">
        <f t="shared" si="5"/>
        <v>1367551.4770614314</v>
      </c>
      <c r="H20" s="281">
        <f t="shared" si="5"/>
        <v>1381216.0626433133</v>
      </c>
      <c r="I20" s="281">
        <f t="shared" si="5"/>
        <v>1394230.2726270703</v>
      </c>
      <c r="K20" s="282">
        <f>SUM(K10:K19)</f>
        <v>1</v>
      </c>
      <c r="N20" s="277"/>
      <c r="O20" s="401">
        <f>E19/E20</f>
        <v>0.13494039022593426</v>
      </c>
    </row>
    <row r="21" spans="1:15" ht="13.5" thickTop="1" x14ac:dyDescent="0.25">
      <c r="A21" s="404"/>
      <c r="B21" s="405" t="s">
        <v>231</v>
      </c>
      <c r="C21" s="406">
        <f>C8+C11+C14+C17</f>
        <v>521532.16619824863</v>
      </c>
      <c r="D21" s="407">
        <f t="shared" ref="D21:I22" si="6">D8+D11+D14+D17</f>
        <v>477805.24199999997</v>
      </c>
      <c r="E21" s="408">
        <f t="shared" si="6"/>
        <v>463724.62501127349</v>
      </c>
      <c r="F21" s="407">
        <f t="shared" si="6"/>
        <v>473140.81968671875</v>
      </c>
      <c r="G21" s="408">
        <f t="shared" si="6"/>
        <v>481668.64846588043</v>
      </c>
      <c r="H21" s="407">
        <f t="shared" si="6"/>
        <v>488864.67496549868</v>
      </c>
      <c r="I21" s="409">
        <f t="shared" si="6"/>
        <v>495484.64359613264</v>
      </c>
      <c r="N21"/>
      <c r="O21"/>
    </row>
    <row r="22" spans="1:15" ht="13.5" thickBot="1" x14ac:dyDescent="0.3">
      <c r="A22" s="410"/>
      <c r="B22" s="411" t="s">
        <v>232</v>
      </c>
      <c r="C22" s="412">
        <f>C9+C12+C15+C18</f>
        <v>835340.81217503222</v>
      </c>
      <c r="D22" s="413">
        <f>D9+D12+D15+D18</f>
        <v>844915.86600000004</v>
      </c>
      <c r="E22" s="414">
        <f t="shared" si="6"/>
        <v>867404.26607582928</v>
      </c>
      <c r="F22" s="413">
        <f t="shared" si="6"/>
        <v>878662.03658096143</v>
      </c>
      <c r="G22" s="414">
        <f t="shared" si="6"/>
        <v>885882.82859555096</v>
      </c>
      <c r="H22" s="413">
        <f t="shared" si="6"/>
        <v>892351.3876778147</v>
      </c>
      <c r="I22" s="412">
        <f t="shared" si="6"/>
        <v>898745.62903093756</v>
      </c>
      <c r="N22"/>
      <c r="O22"/>
    </row>
    <row r="23" spans="1:15" x14ac:dyDescent="0.25">
      <c r="A23" s="172" t="s">
        <v>192</v>
      </c>
      <c r="O23" s="282">
        <f>SUM(O11:O20)</f>
        <v>1</v>
      </c>
    </row>
    <row r="24" spans="1:15" ht="12" thickBot="1" x14ac:dyDescent="0.3"/>
    <row r="25" spans="1:15" ht="21" thickTop="1" thickBot="1" x14ac:dyDescent="0.3">
      <c r="A25" s="368" t="s">
        <v>193</v>
      </c>
      <c r="B25" s="369"/>
      <c r="C25" s="615" t="s">
        <v>183</v>
      </c>
      <c r="D25" s="616"/>
      <c r="E25" s="617" t="s">
        <v>1</v>
      </c>
      <c r="F25" s="618"/>
      <c r="G25" s="618"/>
      <c r="H25" s="618"/>
      <c r="I25" s="618"/>
      <c r="J25" s="619"/>
      <c r="K25" s="364" t="s">
        <v>194</v>
      </c>
      <c r="L25" s="364" t="s">
        <v>195</v>
      </c>
    </row>
    <row r="26" spans="1:15" ht="18" customHeight="1" thickTop="1" thickBot="1" x14ac:dyDescent="0.3">
      <c r="A26" s="366" t="s">
        <v>196</v>
      </c>
      <c r="B26" s="367"/>
      <c r="C26" s="283">
        <f>D7</f>
        <v>2020</v>
      </c>
      <c r="D26" s="284" t="s">
        <v>197</v>
      </c>
      <c r="E26" s="285">
        <f>E7</f>
        <v>2021</v>
      </c>
      <c r="F26" s="285" t="s">
        <v>198</v>
      </c>
      <c r="G26" s="285" t="s">
        <v>199</v>
      </c>
      <c r="H26" s="285" t="s">
        <v>200</v>
      </c>
      <c r="I26" s="285" t="s">
        <v>201</v>
      </c>
      <c r="J26" s="285" t="s">
        <v>233</v>
      </c>
      <c r="K26" s="365"/>
      <c r="L26" s="365"/>
    </row>
    <row r="27" spans="1:15" x14ac:dyDescent="0.25">
      <c r="A27" s="621" t="s">
        <v>184</v>
      </c>
      <c r="B27" s="289" t="s">
        <v>230</v>
      </c>
      <c r="C27" s="290">
        <f>D8</f>
        <v>307070.72499999998</v>
      </c>
      <c r="D27" s="291">
        <f t="shared" ref="D27:D41" si="7">D8/C8-1</f>
        <v>-5.0905090988923596E-2</v>
      </c>
      <c r="E27" s="292">
        <f>E8</f>
        <v>291751.81626204459</v>
      </c>
      <c r="F27" s="293">
        <f t="shared" ref="F27:J41" si="8">E8/D8-1</f>
        <v>-4.9887232779860069E-2</v>
      </c>
      <c r="G27" s="293">
        <f t="shared" si="8"/>
        <v>1.8846551268465017E-2</v>
      </c>
      <c r="H27" s="293">
        <f t="shared" si="8"/>
        <v>1.3401847660653665E-2</v>
      </c>
      <c r="I27" s="293">
        <f t="shared" si="8"/>
        <v>1.6921227290389362E-2</v>
      </c>
      <c r="J27" s="294">
        <f t="shared" si="8"/>
        <v>1.8376301508459703E-2</v>
      </c>
      <c r="K27" s="295">
        <f t="shared" ref="K27:K41" si="9">(I8/D8)^(1/5)-1</f>
        <v>3.1647070062938987E-3</v>
      </c>
      <c r="L27" s="296">
        <f t="shared" ref="L27:L39" si="10">(C27/$C$39)*K27*100</f>
        <v>7.3468917140411052E-2</v>
      </c>
    </row>
    <row r="28" spans="1:15" ht="12" thickBot="1" x14ac:dyDescent="0.3">
      <c r="A28" s="622"/>
      <c r="B28" s="297" t="s">
        <v>185</v>
      </c>
      <c r="C28" s="290">
        <f>D9</f>
        <v>283172.89299999998</v>
      </c>
      <c r="D28" s="291">
        <f t="shared" si="7"/>
        <v>-3.6961922779478296E-2</v>
      </c>
      <c r="E28" s="292">
        <f>E9</f>
        <v>291047.647211904</v>
      </c>
      <c r="F28" s="293">
        <f t="shared" si="8"/>
        <v>2.7808997282462444E-2</v>
      </c>
      <c r="G28" s="293">
        <f t="shared" si="8"/>
        <v>1.420087588404062E-2</v>
      </c>
      <c r="H28" s="293">
        <f t="shared" si="8"/>
        <v>1.6536971354264907E-2</v>
      </c>
      <c r="I28" s="293">
        <f t="shared" si="8"/>
        <v>1.1290114116404792E-2</v>
      </c>
      <c r="J28" s="294">
        <f t="shared" si="8"/>
        <v>7.7808846589526581E-3</v>
      </c>
      <c r="K28" s="295">
        <f t="shared" si="9"/>
        <v>1.5500848566049719E-2</v>
      </c>
      <c r="L28" s="296">
        <f t="shared" si="10"/>
        <v>0.33184774219261948</v>
      </c>
    </row>
    <row r="29" spans="1:15" ht="12" thickBot="1" x14ac:dyDescent="0.3">
      <c r="A29" s="623"/>
      <c r="B29" s="298" t="s">
        <v>186</v>
      </c>
      <c r="C29" s="299">
        <f>C27+C28</f>
        <v>590243.61800000002</v>
      </c>
      <c r="D29" s="300">
        <f t="shared" si="7"/>
        <v>-4.4266511044480761E-2</v>
      </c>
      <c r="E29" s="301">
        <f>E27+E28</f>
        <v>582799.46347394865</v>
      </c>
      <c r="F29" s="302">
        <f t="shared" si="8"/>
        <v>-1.261200341525992E-2</v>
      </c>
      <c r="G29" s="303">
        <f t="shared" si="8"/>
        <v>1.652652015126499E-2</v>
      </c>
      <c r="H29" s="303">
        <f t="shared" si="8"/>
        <v>1.4963933507938787E-2</v>
      </c>
      <c r="I29" s="303">
        <f t="shared" si="8"/>
        <v>1.4111157915858819E-2</v>
      </c>
      <c r="J29" s="304">
        <f t="shared" si="8"/>
        <v>1.3103626127966672E-2</v>
      </c>
      <c r="K29" s="305">
        <f t="shared" si="9"/>
        <v>9.1583535388701787E-3</v>
      </c>
      <c r="L29" s="306">
        <f t="shared" si="10"/>
        <v>0.40867721056325945</v>
      </c>
    </row>
    <row r="30" spans="1:15" x14ac:dyDescent="0.25">
      <c r="A30" s="621" t="s">
        <v>187</v>
      </c>
      <c r="B30" s="289" t="s">
        <v>188</v>
      </c>
      <c r="C30" s="290">
        <f>D11</f>
        <v>51733.008000000002</v>
      </c>
      <c r="D30" s="291">
        <f t="shared" si="7"/>
        <v>-0.13404748753646833</v>
      </c>
      <c r="E30" s="292">
        <f>E11</f>
        <v>50902.109967369644</v>
      </c>
      <c r="F30" s="293">
        <f t="shared" si="8"/>
        <v>-1.6061274315043783E-2</v>
      </c>
      <c r="G30" s="293">
        <f t="shared" si="8"/>
        <v>3.8726004521216328E-2</v>
      </c>
      <c r="H30" s="293">
        <f t="shared" si="8"/>
        <v>7.5819193967443521E-3</v>
      </c>
      <c r="I30" s="293">
        <f t="shared" si="8"/>
        <v>3.9086443922443204E-2</v>
      </c>
      <c r="J30" s="294">
        <f t="shared" si="8"/>
        <v>1.1249657033015392E-2</v>
      </c>
      <c r="K30" s="295">
        <f t="shared" si="9"/>
        <v>1.5902193462116188E-2</v>
      </c>
      <c r="L30" s="296">
        <f t="shared" si="10"/>
        <v>6.219514428382468E-2</v>
      </c>
    </row>
    <row r="31" spans="1:15" ht="12" thickBot="1" x14ac:dyDescent="0.3">
      <c r="A31" s="622"/>
      <c r="B31" s="297" t="s">
        <v>185</v>
      </c>
      <c r="C31" s="307">
        <f>D12</f>
        <v>178333.52900000001</v>
      </c>
      <c r="D31" s="291">
        <f t="shared" si="7"/>
        <v>2.8178832497001371E-2</v>
      </c>
      <c r="E31" s="308">
        <f>E12</f>
        <v>182851.37961197898</v>
      </c>
      <c r="F31" s="293">
        <f t="shared" si="8"/>
        <v>2.5333713953358483E-2</v>
      </c>
      <c r="G31" s="293">
        <f t="shared" si="8"/>
        <v>9.8136532771515572E-3</v>
      </c>
      <c r="H31" s="293">
        <f t="shared" si="8"/>
        <v>1.5673747498679891E-2</v>
      </c>
      <c r="I31" s="293">
        <f t="shared" si="8"/>
        <v>7.4519083462729618E-3</v>
      </c>
      <c r="J31" s="294">
        <f t="shared" si="8"/>
        <v>1.1705981454940062E-2</v>
      </c>
      <c r="K31" s="295">
        <f t="shared" si="9"/>
        <v>1.3976451124031231E-2</v>
      </c>
      <c r="L31" s="296">
        <f t="shared" si="10"/>
        <v>0.18843502509861706</v>
      </c>
    </row>
    <row r="32" spans="1:15" ht="12" thickBot="1" x14ac:dyDescent="0.3">
      <c r="A32" s="623"/>
      <c r="B32" s="298" t="s">
        <v>186</v>
      </c>
      <c r="C32" s="309">
        <f>C30+C31</f>
        <v>230066.53700000001</v>
      </c>
      <c r="D32" s="300">
        <f t="shared" si="7"/>
        <v>-1.338257962613687E-2</v>
      </c>
      <c r="E32" s="310">
        <f>E30+E31</f>
        <v>233753.48957934862</v>
      </c>
      <c r="F32" s="302">
        <f t="shared" si="8"/>
        <v>1.6025592541294209E-2</v>
      </c>
      <c r="G32" s="303">
        <f t="shared" si="8"/>
        <v>1.610960070916212E-2</v>
      </c>
      <c r="H32" s="303">
        <f t="shared" si="8"/>
        <v>1.3872452763250775E-2</v>
      </c>
      <c r="I32" s="303">
        <f t="shared" si="8"/>
        <v>1.4450274110542782E-2</v>
      </c>
      <c r="J32" s="304">
        <f t="shared" si="8"/>
        <v>1.1602579249630152E-2</v>
      </c>
      <c r="K32" s="305">
        <f t="shared" si="9"/>
        <v>1.4410751341844996E-2</v>
      </c>
      <c r="L32" s="306">
        <f t="shared" si="10"/>
        <v>0.2506523587424585</v>
      </c>
    </row>
    <row r="33" spans="1:17" x14ac:dyDescent="0.25">
      <c r="A33" s="621" t="s">
        <v>189</v>
      </c>
      <c r="B33" s="289" t="s">
        <v>188</v>
      </c>
      <c r="C33" s="290">
        <f>D14</f>
        <v>58991.892999999996</v>
      </c>
      <c r="D33" s="291">
        <f t="shared" si="7"/>
        <v>-0.18545776731006602</v>
      </c>
      <c r="E33" s="292">
        <f>E14</f>
        <v>57321.167102609768</v>
      </c>
      <c r="F33" s="293">
        <f t="shared" si="8"/>
        <v>-2.8321279627189222E-2</v>
      </c>
      <c r="G33" s="293">
        <f t="shared" si="8"/>
        <v>-1.2239897272607991E-2</v>
      </c>
      <c r="H33" s="293">
        <f t="shared" si="8"/>
        <v>5.1638437550484806E-2</v>
      </c>
      <c r="I33" s="293">
        <f t="shared" si="8"/>
        <v>-1.6550041247455738E-2</v>
      </c>
      <c r="J33" s="294">
        <f t="shared" si="8"/>
        <v>-1.4603114582740551E-2</v>
      </c>
      <c r="K33" s="295">
        <f t="shared" si="9"/>
        <v>-4.4093369260739257E-3</v>
      </c>
      <c r="L33" s="296">
        <f t="shared" si="10"/>
        <v>-1.9665153188430248E-2</v>
      </c>
    </row>
    <row r="34" spans="1:17" ht="12" thickBot="1" x14ac:dyDescent="0.3">
      <c r="A34" s="622"/>
      <c r="B34" s="297" t="s">
        <v>185</v>
      </c>
      <c r="C34" s="307">
        <f>D15</f>
        <v>270176.41899999999</v>
      </c>
      <c r="D34" s="291">
        <f t="shared" si="7"/>
        <v>3.0148043894468124E-2</v>
      </c>
      <c r="E34" s="308">
        <f>E15</f>
        <v>277631.71892688703</v>
      </c>
      <c r="F34" s="293">
        <f t="shared" si="8"/>
        <v>2.7594191804307888E-2</v>
      </c>
      <c r="G34" s="293">
        <f t="shared" si="8"/>
        <v>1.0970994190604877E-2</v>
      </c>
      <c r="H34" s="293">
        <f t="shared" si="8"/>
        <v>-1.4178152124461607E-2</v>
      </c>
      <c r="I34" s="293">
        <f t="shared" si="8"/>
        <v>-7.4307342168089541E-4</v>
      </c>
      <c r="J34" s="294">
        <f t="shared" si="8"/>
        <v>1.7523889523025638E-3</v>
      </c>
      <c r="K34" s="295">
        <f t="shared" si="9"/>
        <v>4.9842737217402622E-3</v>
      </c>
      <c r="L34" s="296">
        <f t="shared" si="10"/>
        <v>0.10180779737398629</v>
      </c>
    </row>
    <row r="35" spans="1:17" ht="12" thickBot="1" x14ac:dyDescent="0.3">
      <c r="A35" s="623"/>
      <c r="B35" s="298" t="s">
        <v>186</v>
      </c>
      <c r="C35" s="309">
        <f>C33+C34</f>
        <v>329168.31199999998</v>
      </c>
      <c r="D35" s="300">
        <f t="shared" si="7"/>
        <v>-1.6506368064114207E-2</v>
      </c>
      <c r="E35" s="310">
        <f>E33+E34</f>
        <v>334952.88602949679</v>
      </c>
      <c r="F35" s="302">
        <f t="shared" si="8"/>
        <v>1.757330161688464E-2</v>
      </c>
      <c r="G35" s="303">
        <f t="shared" si="8"/>
        <v>6.9988672328864521E-3</v>
      </c>
      <c r="H35" s="303">
        <f t="shared" si="8"/>
        <v>-3.1300119983296293E-3</v>
      </c>
      <c r="I35" s="303">
        <f t="shared" si="8"/>
        <v>-3.542250014749726E-3</v>
      </c>
      <c r="J35" s="304">
        <f t="shared" si="8"/>
        <v>-1.1061165006244211E-3</v>
      </c>
      <c r="K35" s="305">
        <f t="shared" si="9"/>
        <v>3.3265160983355635E-3</v>
      </c>
      <c r="L35" s="306">
        <f t="shared" si="10"/>
        <v>8.2782657833713455E-2</v>
      </c>
    </row>
    <row r="36" spans="1:17" x14ac:dyDescent="0.25">
      <c r="A36" s="621" t="s">
        <v>190</v>
      </c>
      <c r="B36" s="289" t="s">
        <v>188</v>
      </c>
      <c r="C36" s="290">
        <f>D17</f>
        <v>60009.616000000002</v>
      </c>
      <c r="D36" s="291">
        <f t="shared" si="7"/>
        <v>-8.8374496898369292E-2</v>
      </c>
      <c r="E36" s="292">
        <f>E17</f>
        <v>63749.531679249478</v>
      </c>
      <c r="F36" s="293">
        <f t="shared" si="8"/>
        <v>6.2321939857929998E-2</v>
      </c>
      <c r="G36" s="293">
        <f t="shared" si="8"/>
        <v>4.1538328188266416E-2</v>
      </c>
      <c r="H36" s="293">
        <f t="shared" si="8"/>
        <v>1.8366602353539374E-2</v>
      </c>
      <c r="I36" s="293">
        <f t="shared" si="8"/>
        <v>1.481757358940361E-2</v>
      </c>
      <c r="J36" s="294">
        <f t="shared" si="8"/>
        <v>1.7824769071044244E-2</v>
      </c>
      <c r="K36" s="295">
        <f t="shared" si="9"/>
        <v>3.0811630563959636E-2</v>
      </c>
      <c r="L36" s="296">
        <f t="shared" si="10"/>
        <v>0.13978714842411671</v>
      </c>
    </row>
    <row r="37" spans="1:17" ht="12" thickBot="1" x14ac:dyDescent="0.3">
      <c r="A37" s="622"/>
      <c r="B37" s="297" t="s">
        <v>185</v>
      </c>
      <c r="C37" s="307">
        <f>D18</f>
        <v>113233.02499999999</v>
      </c>
      <c r="D37" s="291">
        <f t="shared" si="7"/>
        <v>7.2444303288682343E-2</v>
      </c>
      <c r="E37" s="308">
        <f>E18</f>
        <v>115873.52032505935</v>
      </c>
      <c r="F37" s="293">
        <f t="shared" si="8"/>
        <v>2.3319127304594733E-2</v>
      </c>
      <c r="G37" s="293">
        <f t="shared" si="8"/>
        <v>1.9713761764468929E-2</v>
      </c>
      <c r="H37" s="293">
        <f t="shared" si="8"/>
        <v>2.8984910223619487E-2</v>
      </c>
      <c r="I37" s="293">
        <f t="shared" si="8"/>
        <v>1.5535935317890104E-2</v>
      </c>
      <c r="J37" s="294">
        <f t="shared" si="8"/>
        <v>1.0827695370329904E-2</v>
      </c>
      <c r="K37" s="295">
        <f t="shared" si="9"/>
        <v>1.9657132113462206E-2</v>
      </c>
      <c r="L37" s="296">
        <f t="shared" si="10"/>
        <v>0.16827708566604116</v>
      </c>
    </row>
    <row r="38" spans="1:17" ht="12" thickBot="1" x14ac:dyDescent="0.3">
      <c r="A38" s="623"/>
      <c r="B38" s="298" t="s">
        <v>186</v>
      </c>
      <c r="C38" s="309">
        <f>C36+C37</f>
        <v>173242.641</v>
      </c>
      <c r="D38" s="300">
        <f t="shared" si="7"/>
        <v>1.0685022032350222E-2</v>
      </c>
      <c r="E38" s="310">
        <f>E36+E37</f>
        <v>179623.05200430882</v>
      </c>
      <c r="F38" s="302">
        <f t="shared" si="8"/>
        <v>3.6829333514425189E-2</v>
      </c>
      <c r="G38" s="303">
        <f t="shared" si="8"/>
        <v>2.7459459619477045E-2</v>
      </c>
      <c r="H38" s="303">
        <f t="shared" si="8"/>
        <v>2.5164756827573465E-2</v>
      </c>
      <c r="I38" s="303">
        <f t="shared" si="8"/>
        <v>1.5279203819158038E-2</v>
      </c>
      <c r="J38" s="304">
        <f t="shared" si="8"/>
        <v>1.3327205530899722E-2</v>
      </c>
      <c r="K38" s="305">
        <f t="shared" si="9"/>
        <v>2.3576169482787179E-2</v>
      </c>
      <c r="L38" s="306">
        <f t="shared" si="10"/>
        <v>0.30878753209264237</v>
      </c>
    </row>
    <row r="39" spans="1:17" ht="12" thickBot="1" x14ac:dyDescent="0.3">
      <c r="A39" s="359" t="s">
        <v>191</v>
      </c>
      <c r="B39" s="360"/>
      <c r="C39" s="311">
        <f>C29+C32+C35+C38</f>
        <v>1322721.108</v>
      </c>
      <c r="D39" s="312">
        <f t="shared" si="7"/>
        <v>-2.5169541230178005E-2</v>
      </c>
      <c r="E39" s="313">
        <f>E29+E32+E35+E38</f>
        <v>1331128.8910871029</v>
      </c>
      <c r="F39" s="314">
        <f t="shared" si="8"/>
        <v>6.3564292096431885E-3</v>
      </c>
      <c r="G39" s="314">
        <f t="shared" si="8"/>
        <v>1.5531152031185824E-2</v>
      </c>
      <c r="H39" s="314">
        <f t="shared" si="8"/>
        <v>1.1650086934446025E-2</v>
      </c>
      <c r="I39" s="314">
        <f t="shared" si="8"/>
        <v>9.992008206699543E-3</v>
      </c>
      <c r="J39" s="315">
        <f t="shared" si="8"/>
        <v>9.4222839827469151E-3</v>
      </c>
      <c r="K39" s="415">
        <f t="shared" si="9"/>
        <v>1.0585923961254462E-2</v>
      </c>
      <c r="L39" s="416">
        <f t="shared" si="10"/>
        <v>1.0585923961254462</v>
      </c>
    </row>
    <row r="40" spans="1:17" ht="14" thickTop="1" thickBot="1" x14ac:dyDescent="0.3">
      <c r="A40" s="404"/>
      <c r="B40" s="417" t="s">
        <v>231</v>
      </c>
      <c r="C40" s="418">
        <f>C27+C30+C33+C36</f>
        <v>477805.24199999997</v>
      </c>
      <c r="D40" s="419">
        <f t="shared" si="7"/>
        <v>-8.3843197087918209E-2</v>
      </c>
      <c r="E40" s="418">
        <f>E27+E30+E33+E36</f>
        <v>463724.62501127349</v>
      </c>
      <c r="F40" s="419">
        <f t="shared" si="8"/>
        <v>-2.9469364818576982E-2</v>
      </c>
      <c r="G40" s="419">
        <f t="shared" si="8"/>
        <v>2.0305573971225677E-2</v>
      </c>
      <c r="H40" s="419">
        <f t="shared" si="8"/>
        <v>1.802387032428987E-2</v>
      </c>
      <c r="I40" s="419">
        <f t="shared" si="8"/>
        <v>1.4939785934869665E-2</v>
      </c>
      <c r="J40" s="420">
        <f t="shared" si="8"/>
        <v>1.3541515616977584E-2</v>
      </c>
      <c r="K40" s="421">
        <f t="shared" si="9"/>
        <v>7.2930971528459843E-3</v>
      </c>
      <c r="L40" s="422">
        <f>(C41/$C$39)*K41*100</f>
        <v>0.79394164698094549</v>
      </c>
      <c r="M40" s="318"/>
    </row>
    <row r="41" spans="1:17" ht="13.5" thickBot="1" x14ac:dyDescent="0.3">
      <c r="A41" s="410"/>
      <c r="B41" s="423" t="s">
        <v>232</v>
      </c>
      <c r="C41" s="424">
        <f>C28+C31+C34+C37</f>
        <v>844915.86600000004</v>
      </c>
      <c r="D41" s="425">
        <f t="shared" si="7"/>
        <v>1.1462451834523213E-2</v>
      </c>
      <c r="E41" s="424">
        <f>E28+E31+E34+E37</f>
        <v>867404.26607582928</v>
      </c>
      <c r="F41" s="425">
        <f t="shared" si="8"/>
        <v>2.6616141299717677E-2</v>
      </c>
      <c r="G41" s="425">
        <f t="shared" si="8"/>
        <v>1.2978689344084859E-2</v>
      </c>
      <c r="H41" s="425">
        <f t="shared" si="8"/>
        <v>8.2179401339415037E-3</v>
      </c>
      <c r="I41" s="425">
        <f t="shared" si="8"/>
        <v>7.3018224007330712E-3</v>
      </c>
      <c r="J41" s="426">
        <f t="shared" si="8"/>
        <v>7.1656092447647257E-3</v>
      </c>
      <c r="K41" s="316">
        <f t="shared" si="9"/>
        <v>1.242920647180723E-2</v>
      </c>
      <c r="L41" s="317">
        <f>(C39/$C$41)*K41*100</f>
        <v>1.9458000988644746</v>
      </c>
      <c r="M41" s="318"/>
    </row>
    <row r="43" spans="1:17" ht="13" x14ac:dyDescent="0.3">
      <c r="A43" s="259" t="s">
        <v>202</v>
      </c>
      <c r="M43" s="318"/>
    </row>
    <row r="46" spans="1:17" ht="12" thickBot="1" x14ac:dyDescent="0.3">
      <c r="A46" s="264"/>
      <c r="B46" s="265"/>
    </row>
    <row r="47" spans="1:17" ht="25" thickTop="1" thickBot="1" x14ac:dyDescent="0.3">
      <c r="A47" s="373" t="s">
        <v>203</v>
      </c>
      <c r="B47" s="374"/>
      <c r="C47" s="372" t="s">
        <v>183</v>
      </c>
      <c r="D47" s="372" t="s">
        <v>183</v>
      </c>
      <c r="E47" s="603" t="s">
        <v>1</v>
      </c>
      <c r="F47" s="604"/>
      <c r="G47" s="604"/>
      <c r="H47" s="604"/>
      <c r="I47" s="605"/>
    </row>
    <row r="48" spans="1:17" ht="13.5" thickBot="1" x14ac:dyDescent="0.3">
      <c r="A48" s="375"/>
      <c r="B48" s="376"/>
      <c r="C48" s="266">
        <v>2019</v>
      </c>
      <c r="D48" s="266">
        <f t="shared" ref="D48:I48" si="11">C48+1</f>
        <v>2020</v>
      </c>
      <c r="E48" s="266">
        <f t="shared" si="11"/>
        <v>2021</v>
      </c>
      <c r="F48" s="266">
        <f t="shared" si="11"/>
        <v>2022</v>
      </c>
      <c r="G48" s="266">
        <f t="shared" si="11"/>
        <v>2023</v>
      </c>
      <c r="H48" s="266">
        <f t="shared" si="11"/>
        <v>2024</v>
      </c>
      <c r="I48" s="266">
        <f t="shared" si="11"/>
        <v>2025</v>
      </c>
      <c r="K48" s="319"/>
      <c r="L48" s="319"/>
      <c r="M48" s="319"/>
      <c r="N48" s="319"/>
      <c r="O48" s="319"/>
      <c r="P48" s="319"/>
      <c r="Q48" s="319"/>
    </row>
    <row r="49" spans="1:19" ht="12.75" customHeight="1" x14ac:dyDescent="0.25">
      <c r="A49" s="606" t="s">
        <v>234</v>
      </c>
      <c r="B49" s="269" t="s">
        <v>230</v>
      </c>
      <c r="C49" s="324">
        <f t="shared" ref="C49:I49" si="12">C8/C87</f>
        <v>9.1187288321863874E-2</v>
      </c>
      <c r="D49" s="325">
        <f t="shared" si="12"/>
        <v>8.4440161478268078E-2</v>
      </c>
      <c r="E49" s="325">
        <f t="shared" si="12"/>
        <v>8.1816920229219853E-2</v>
      </c>
      <c r="F49" s="325">
        <f t="shared" si="12"/>
        <v>8.0121989169733537E-2</v>
      </c>
      <c r="G49" s="325">
        <f t="shared" si="12"/>
        <v>7.7549218307340601E-2</v>
      </c>
      <c r="H49" s="325">
        <f t="shared" si="12"/>
        <v>7.5588202829044562E-2</v>
      </c>
      <c r="I49" s="325">
        <f t="shared" si="12"/>
        <v>7.3920131604503433E-2</v>
      </c>
      <c r="K49" s="320"/>
      <c r="L49" s="320"/>
      <c r="M49" s="320"/>
      <c r="N49" s="320"/>
      <c r="O49" s="320"/>
      <c r="P49" s="320"/>
      <c r="Q49" s="320"/>
      <c r="R49" s="319"/>
      <c r="S49" s="319"/>
    </row>
    <row r="50" spans="1:19" ht="12" customHeight="1" x14ac:dyDescent="0.25">
      <c r="A50" s="607"/>
      <c r="B50" s="269" t="s">
        <v>185</v>
      </c>
      <c r="C50" s="326">
        <f t="shared" ref="C50:I61" si="13">C88/C9</f>
        <v>15.865365028179014</v>
      </c>
      <c r="D50" s="327">
        <f t="shared" si="13"/>
        <v>15.041494741518216</v>
      </c>
      <c r="E50" s="327">
        <f t="shared" si="13"/>
        <v>15.163993937565092</v>
      </c>
      <c r="F50" s="327">
        <f t="shared" si="13"/>
        <v>15.450425572190763</v>
      </c>
      <c r="G50" s="327">
        <f t="shared" si="13"/>
        <v>15.561533155108785</v>
      </c>
      <c r="H50" s="327">
        <f t="shared" si="13"/>
        <v>15.780444919766511</v>
      </c>
      <c r="I50" s="327">
        <f t="shared" si="13"/>
        <v>16.045862939022559</v>
      </c>
      <c r="K50" s="609"/>
      <c r="L50" s="377"/>
      <c r="M50" s="323"/>
      <c r="N50" s="323"/>
      <c r="O50" s="323"/>
      <c r="P50" s="323"/>
      <c r="Q50" s="323"/>
      <c r="R50" s="323"/>
      <c r="S50" s="323"/>
    </row>
    <row r="51" spans="1:19" ht="12.75" customHeight="1" thickBot="1" x14ac:dyDescent="0.3">
      <c r="A51" s="608"/>
      <c r="B51" s="273" t="s">
        <v>186</v>
      </c>
      <c r="C51" s="328">
        <f t="shared" si="13"/>
        <v>13.298902096784621</v>
      </c>
      <c r="D51" s="329">
        <f t="shared" si="13"/>
        <v>13.377343917338212</v>
      </c>
      <c r="E51" s="329">
        <f t="shared" si="13"/>
        <v>13.691425223123032</v>
      </c>
      <c r="F51" s="329">
        <f t="shared" si="13"/>
        <v>13.960510256129528</v>
      </c>
      <c r="G51" s="329">
        <f t="shared" si="13"/>
        <v>14.225686468089039</v>
      </c>
      <c r="H51" s="329">
        <f t="shared" si="13"/>
        <v>14.498984538960238</v>
      </c>
      <c r="I51" s="329">
        <f t="shared" si="13"/>
        <v>14.774457442253857</v>
      </c>
      <c r="K51" s="610"/>
      <c r="L51" s="377"/>
      <c r="M51" s="323"/>
      <c r="N51" s="323"/>
      <c r="O51" s="323"/>
      <c r="P51" s="323"/>
      <c r="Q51" s="323"/>
      <c r="R51" s="323"/>
      <c r="S51" s="323"/>
    </row>
    <row r="52" spans="1:19" ht="12" x14ac:dyDescent="0.25">
      <c r="A52" s="606" t="s">
        <v>187</v>
      </c>
      <c r="B52" s="267" t="s">
        <v>188</v>
      </c>
      <c r="C52" s="321">
        <f t="shared" si="13"/>
        <v>13.857181737806739</v>
      </c>
      <c r="D52" s="332">
        <f t="shared" si="13"/>
        <v>14.619629966229684</v>
      </c>
      <c r="E52" s="322">
        <f t="shared" si="13"/>
        <v>14.765711374524468</v>
      </c>
      <c r="F52" s="322">
        <f t="shared" si="13"/>
        <v>15.197030028418535</v>
      </c>
      <c r="G52" s="322">
        <f t="shared" si="13"/>
        <v>15.069871653395612</v>
      </c>
      <c r="H52" s="322">
        <f t="shared" si="13"/>
        <v>14.733092401963818</v>
      </c>
      <c r="I52" s="322">
        <f t="shared" si="13"/>
        <v>14.794376053043708</v>
      </c>
      <c r="K52" s="610"/>
      <c r="L52" s="377"/>
      <c r="M52" s="323"/>
      <c r="N52" s="323"/>
      <c r="O52" s="323"/>
      <c r="P52" s="323"/>
      <c r="Q52" s="323"/>
      <c r="R52" s="323"/>
      <c r="S52" s="323"/>
    </row>
    <row r="53" spans="1:19" ht="12" x14ac:dyDescent="0.25">
      <c r="A53" s="607"/>
      <c r="B53" s="269" t="s">
        <v>185</v>
      </c>
      <c r="C53" s="326">
        <f t="shared" si="13"/>
        <v>19.961785904020072</v>
      </c>
      <c r="D53" s="333">
        <f t="shared" si="13"/>
        <v>20.1996349828304</v>
      </c>
      <c r="E53" s="327">
        <f t="shared" si="13"/>
        <v>20.305234667637624</v>
      </c>
      <c r="F53" s="327">
        <f t="shared" si="13"/>
        <v>20.370637103827381</v>
      </c>
      <c r="G53" s="327">
        <f t="shared" si="13"/>
        <v>20.473171579530813</v>
      </c>
      <c r="H53" s="327">
        <f t="shared" si="13"/>
        <v>20.675932401304898</v>
      </c>
      <c r="I53" s="327">
        <f t="shared" si="13"/>
        <v>20.735711413873613</v>
      </c>
      <c r="K53" s="610"/>
      <c r="L53" s="330"/>
      <c r="M53" s="331"/>
      <c r="N53" s="331"/>
      <c r="O53" s="331"/>
      <c r="P53" s="331"/>
      <c r="Q53" s="331"/>
      <c r="R53" s="331"/>
      <c r="S53" s="331"/>
    </row>
    <row r="54" spans="1:19" ht="12.5" thickBot="1" x14ac:dyDescent="0.3">
      <c r="A54" s="608"/>
      <c r="B54" s="273" t="s">
        <v>186</v>
      </c>
      <c r="C54" s="328">
        <f t="shared" si="13"/>
        <v>18.397822858145187</v>
      </c>
      <c r="D54" s="329">
        <f t="shared" si="13"/>
        <v>18.944909076455563</v>
      </c>
      <c r="E54" s="329">
        <f t="shared" si="13"/>
        <v>19.098949258421801</v>
      </c>
      <c r="F54" s="329">
        <f t="shared" si="13"/>
        <v>19.218957771207453</v>
      </c>
      <c r="G54" s="329">
        <f t="shared" si="13"/>
        <v>19.277823883463167</v>
      </c>
      <c r="H54" s="329">
        <f t="shared" si="13"/>
        <v>19.329296691681915</v>
      </c>
      <c r="I54" s="329">
        <f t="shared" si="13"/>
        <v>19.389886340083216</v>
      </c>
      <c r="K54" s="609"/>
      <c r="L54" s="377"/>
      <c r="M54" s="323"/>
      <c r="N54" s="323"/>
      <c r="O54" s="323"/>
      <c r="P54" s="323"/>
      <c r="Q54" s="323"/>
      <c r="R54" s="323"/>
      <c r="S54" s="323"/>
    </row>
    <row r="55" spans="1:19" ht="12" x14ac:dyDescent="0.25">
      <c r="A55" s="606" t="s">
        <v>189</v>
      </c>
      <c r="B55" s="267" t="s">
        <v>188</v>
      </c>
      <c r="C55" s="321">
        <f t="shared" si="13"/>
        <v>14.990729977102255</v>
      </c>
      <c r="D55" s="332">
        <f t="shared" si="13"/>
        <v>16.263334421222929</v>
      </c>
      <c r="E55" s="322">
        <f t="shared" si="13"/>
        <v>16.783463156423245</v>
      </c>
      <c r="F55" s="322">
        <f t="shared" si="13"/>
        <v>17.982450791029233</v>
      </c>
      <c r="G55" s="322">
        <f t="shared" si="13"/>
        <v>18.135481671390444</v>
      </c>
      <c r="H55" s="322">
        <f t="shared" si="13"/>
        <v>19.085605714865252</v>
      </c>
      <c r="I55" s="322">
        <f t="shared" si="13"/>
        <v>19.765020416382789</v>
      </c>
      <c r="K55" s="610"/>
      <c r="L55" s="377"/>
      <c r="M55" s="323"/>
      <c r="N55" s="323"/>
      <c r="O55" s="323"/>
      <c r="P55" s="323"/>
      <c r="Q55" s="323"/>
      <c r="R55" s="323"/>
      <c r="S55" s="323"/>
    </row>
    <row r="56" spans="1:19" ht="12" x14ac:dyDescent="0.25">
      <c r="A56" s="607"/>
      <c r="B56" s="269" t="s">
        <v>185</v>
      </c>
      <c r="C56" s="326">
        <f t="shared" si="13"/>
        <v>23.153742059493769</v>
      </c>
      <c r="D56" s="333">
        <f t="shared" si="13"/>
        <v>22.947250659207235</v>
      </c>
      <c r="E56" s="327">
        <f t="shared" si="13"/>
        <v>23.05916438388493</v>
      </c>
      <c r="F56" s="327">
        <f t="shared" si="13"/>
        <v>23.307368883956364</v>
      </c>
      <c r="G56" s="327">
        <f t="shared" si="13"/>
        <v>24.163301236641292</v>
      </c>
      <c r="H56" s="327">
        <f t="shared" si="13"/>
        <v>24.655133499072477</v>
      </c>
      <c r="I56" s="327">
        <f t="shared" si="13"/>
        <v>25.016429802085707</v>
      </c>
      <c r="K56" s="610"/>
      <c r="L56" s="330"/>
      <c r="M56" s="331"/>
      <c r="N56" s="331"/>
      <c r="O56" s="331"/>
      <c r="P56" s="331"/>
      <c r="Q56" s="331"/>
      <c r="R56" s="331"/>
      <c r="S56" s="331"/>
    </row>
    <row r="57" spans="1:19" ht="12.5" thickBot="1" x14ac:dyDescent="0.3">
      <c r="A57" s="608"/>
      <c r="B57" s="273" t="s">
        <v>186</v>
      </c>
      <c r="C57" s="328">
        <f t="shared" si="13"/>
        <v>21.387367923346321</v>
      </c>
      <c r="D57" s="329">
        <f t="shared" si="13"/>
        <v>21.749392733161994</v>
      </c>
      <c r="E57" s="329">
        <f t="shared" si="13"/>
        <v>21.985190897614672</v>
      </c>
      <c r="F57" s="329">
        <f t="shared" si="13"/>
        <v>22.413514590663663</v>
      </c>
      <c r="G57" s="329">
        <f t="shared" si="13"/>
        <v>23.095864924992689</v>
      </c>
      <c r="H57" s="329">
        <f t="shared" si="13"/>
        <v>23.681728705556115</v>
      </c>
      <c r="I57" s="329">
        <f t="shared" si="13"/>
        <v>24.111024959038208</v>
      </c>
      <c r="K57" s="609"/>
      <c r="L57" s="377"/>
      <c r="M57" s="323"/>
      <c r="N57" s="323"/>
      <c r="O57" s="323"/>
      <c r="P57" s="323"/>
      <c r="Q57" s="323"/>
      <c r="R57" s="323"/>
      <c r="S57" s="323"/>
    </row>
    <row r="58" spans="1:19" ht="12" x14ac:dyDescent="0.25">
      <c r="A58" s="620" t="s">
        <v>190</v>
      </c>
      <c r="B58" s="269" t="s">
        <v>188</v>
      </c>
      <c r="C58" s="321">
        <f t="shared" si="13"/>
        <v>12.089786751910381</v>
      </c>
      <c r="D58" s="332">
        <f t="shared" si="13"/>
        <v>11.033559938127249</v>
      </c>
      <c r="E58" s="322">
        <f t="shared" si="13"/>
        <v>10.843596608040974</v>
      </c>
      <c r="F58" s="322">
        <f t="shared" si="13"/>
        <v>10.959818155117317</v>
      </c>
      <c r="G58" s="322">
        <f t="shared" si="13"/>
        <v>11.051395110709644</v>
      </c>
      <c r="H58" s="322">
        <f t="shared" si="13"/>
        <v>11.430501081925232</v>
      </c>
      <c r="I58" s="322">
        <f t="shared" si="13"/>
        <v>11.647382044451506</v>
      </c>
      <c r="K58" s="610"/>
      <c r="L58" s="377"/>
      <c r="M58" s="323"/>
      <c r="N58" s="323"/>
      <c r="O58" s="323"/>
      <c r="P58" s="323"/>
      <c r="Q58" s="323"/>
      <c r="R58" s="323"/>
      <c r="S58" s="323"/>
    </row>
    <row r="59" spans="1:19" ht="12" x14ac:dyDescent="0.25">
      <c r="A59" s="607"/>
      <c r="B59" s="278" t="s">
        <v>185</v>
      </c>
      <c r="C59" s="326">
        <f t="shared" si="13"/>
        <v>14.552326837991636</v>
      </c>
      <c r="D59" s="333">
        <f t="shared" si="13"/>
        <v>15.230674266628487</v>
      </c>
      <c r="E59" s="327">
        <f t="shared" si="13"/>
        <v>15.465794040226934</v>
      </c>
      <c r="F59" s="327">
        <f t="shared" si="13"/>
        <v>15.658247659348598</v>
      </c>
      <c r="G59" s="327">
        <f t="shared" si="13"/>
        <v>15.8133235084772</v>
      </c>
      <c r="H59" s="327">
        <f t="shared" si="13"/>
        <v>15.954234926457016</v>
      </c>
      <c r="I59" s="327">
        <f t="shared" si="13"/>
        <v>16.084073430583725</v>
      </c>
      <c r="K59" s="610"/>
      <c r="L59" s="330"/>
      <c r="M59" s="331"/>
      <c r="N59" s="331"/>
      <c r="O59" s="331"/>
      <c r="P59" s="331"/>
      <c r="Q59" s="331"/>
      <c r="R59" s="331"/>
      <c r="S59" s="331"/>
    </row>
    <row r="60" spans="1:19" ht="12.5" thickBot="1" x14ac:dyDescent="0.3">
      <c r="A60" s="608"/>
      <c r="B60" s="273" t="s">
        <v>186</v>
      </c>
      <c r="C60" s="328">
        <f t="shared" si="13"/>
        <v>13.606636995731948</v>
      </c>
      <c r="D60" s="329">
        <f t="shared" si="13"/>
        <v>13.776833470230924</v>
      </c>
      <c r="E60" s="329">
        <f t="shared" si="13"/>
        <v>13.825342448168382</v>
      </c>
      <c r="F60" s="329">
        <f t="shared" si="13"/>
        <v>13.967891564358521</v>
      </c>
      <c r="G60" s="329">
        <f t="shared" si="13"/>
        <v>14.111483104214063</v>
      </c>
      <c r="H60" s="329">
        <f t="shared" si="13"/>
        <v>14.338256705880754</v>
      </c>
      <c r="I60" s="329">
        <f t="shared" si="13"/>
        <v>14.492154338505102</v>
      </c>
      <c r="K60" s="609"/>
      <c r="L60" s="377"/>
      <c r="M60" s="323"/>
      <c r="N60" s="323"/>
      <c r="O60" s="323"/>
      <c r="P60" s="323"/>
      <c r="Q60" s="323"/>
      <c r="R60" s="323"/>
      <c r="S60" s="323"/>
    </row>
    <row r="61" spans="1:19" ht="13.5" thickBot="1" x14ac:dyDescent="0.3">
      <c r="A61" s="370" t="s">
        <v>204</v>
      </c>
      <c r="B61" s="371"/>
      <c r="C61" s="335">
        <f t="shared" si="13"/>
        <v>16.209199597427126</v>
      </c>
      <c r="D61" s="336">
        <f t="shared" si="13"/>
        <v>16.481499595151242</v>
      </c>
      <c r="E61" s="336">
        <f t="shared" si="13"/>
        <v>16.746052772613403</v>
      </c>
      <c r="F61" s="336">
        <f t="shared" si="13"/>
        <v>16.994620445837793</v>
      </c>
      <c r="G61" s="336">
        <f t="shared" si="13"/>
        <v>17.280445618773872</v>
      </c>
      <c r="H61" s="336">
        <f t="shared" si="13"/>
        <v>17.558479633620991</v>
      </c>
      <c r="I61" s="336">
        <f t="shared" si="13"/>
        <v>17.794341287606407</v>
      </c>
      <c r="K61" s="610"/>
      <c r="L61" s="334"/>
      <c r="M61" s="323"/>
      <c r="N61" s="323"/>
      <c r="O61" s="323"/>
      <c r="P61" s="323"/>
      <c r="Q61" s="323"/>
      <c r="R61" s="323"/>
      <c r="S61" s="323"/>
    </row>
    <row r="62" spans="1:19" ht="12.5" thickTop="1" x14ac:dyDescent="0.25">
      <c r="A62" s="257" t="s">
        <v>192</v>
      </c>
      <c r="K62" s="610"/>
      <c r="L62" s="330"/>
      <c r="M62" s="331"/>
      <c r="N62" s="331"/>
      <c r="O62" s="331"/>
      <c r="P62" s="331"/>
      <c r="Q62" s="331"/>
      <c r="R62" s="331"/>
      <c r="S62" s="331"/>
    </row>
    <row r="63" spans="1:19" ht="12" thickBot="1" x14ac:dyDescent="0.3"/>
    <row r="64" spans="1:19" ht="21" thickTop="1" thickBot="1" x14ac:dyDescent="0.3">
      <c r="A64" s="368" t="s">
        <v>205</v>
      </c>
      <c r="B64" s="369"/>
      <c r="C64" s="615" t="s">
        <v>183</v>
      </c>
      <c r="D64" s="616"/>
      <c r="E64" s="617" t="s">
        <v>1</v>
      </c>
      <c r="F64" s="618"/>
      <c r="G64" s="618"/>
      <c r="H64" s="618"/>
      <c r="I64" s="618"/>
      <c r="J64" s="619"/>
      <c r="K64" s="364" t="s">
        <v>194</v>
      </c>
    </row>
    <row r="65" spans="1:12" ht="12.5" thickTop="1" thickBot="1" x14ac:dyDescent="0.3">
      <c r="A65" s="366" t="s">
        <v>206</v>
      </c>
      <c r="B65" s="367"/>
      <c r="C65" s="283">
        <f t="shared" ref="C65:C78" si="14">D48</f>
        <v>2020</v>
      </c>
      <c r="D65" s="284" t="s">
        <v>197</v>
      </c>
      <c r="E65" s="285">
        <f>E48</f>
        <v>2021</v>
      </c>
      <c r="F65" s="285" t="s">
        <v>198</v>
      </c>
      <c r="G65" s="285" t="s">
        <v>199</v>
      </c>
      <c r="H65" s="285" t="s">
        <v>200</v>
      </c>
      <c r="I65" s="285" t="s">
        <v>201</v>
      </c>
      <c r="J65" s="285" t="s">
        <v>233</v>
      </c>
      <c r="K65" s="365"/>
    </row>
    <row r="66" spans="1:12" x14ac:dyDescent="0.25">
      <c r="A66" s="621" t="s">
        <v>184</v>
      </c>
      <c r="B66" s="289" t="s">
        <v>230</v>
      </c>
      <c r="C66" s="337">
        <f t="shared" si="14"/>
        <v>8.4440161478268078E-2</v>
      </c>
      <c r="D66" s="338">
        <f t="shared" ref="D66:D78" si="15">D49/C49-1</f>
        <v>-7.3991967167402306E-2</v>
      </c>
      <c r="E66" s="339">
        <f>E49</f>
        <v>8.1816920229219853E-2</v>
      </c>
      <c r="F66" s="293">
        <f t="shared" ref="F66:J78" si="16">E49/D49-1</f>
        <v>-3.1066274662719051E-2</v>
      </c>
      <c r="G66" s="293">
        <f t="shared" si="16"/>
        <v>-2.0716143491319006E-2</v>
      </c>
      <c r="H66" s="293">
        <f t="shared" si="16"/>
        <v>-3.2110671353187237E-2</v>
      </c>
      <c r="I66" s="293">
        <f t="shared" si="16"/>
        <v>-2.5287366154023716E-2</v>
      </c>
      <c r="J66" s="294">
        <f t="shared" si="16"/>
        <v>-2.2067877818364723E-2</v>
      </c>
      <c r="K66" s="295">
        <f t="shared" ref="K66:K78" si="17">(I49/D49)^(1/5)-1</f>
        <v>-2.6260617447234957E-2</v>
      </c>
    </row>
    <row r="67" spans="1:12" ht="12" thickBot="1" x14ac:dyDescent="0.3">
      <c r="A67" s="622"/>
      <c r="B67" s="297" t="s">
        <v>185</v>
      </c>
      <c r="C67" s="337">
        <f t="shared" si="14"/>
        <v>15.041494741518216</v>
      </c>
      <c r="D67" s="338">
        <f t="shared" si="15"/>
        <v>-5.1928857936611839E-2</v>
      </c>
      <c r="E67" s="339">
        <f>E50</f>
        <v>15.163993937565092</v>
      </c>
      <c r="F67" s="293">
        <f t="shared" si="16"/>
        <v>8.144083959205739E-3</v>
      </c>
      <c r="G67" s="293">
        <f t="shared" si="16"/>
        <v>1.8888930964032324E-2</v>
      </c>
      <c r="H67" s="293">
        <f t="shared" si="16"/>
        <v>7.1912312317146121E-3</v>
      </c>
      <c r="I67" s="293">
        <f t="shared" si="16"/>
        <v>1.4067493381001439E-2</v>
      </c>
      <c r="J67" s="294">
        <f t="shared" si="16"/>
        <v>1.6819425599565063E-2</v>
      </c>
      <c r="K67" s="295">
        <f t="shared" si="17"/>
        <v>1.3011595110692609E-2</v>
      </c>
      <c r="L67" s="340"/>
    </row>
    <row r="68" spans="1:12" ht="12" thickBot="1" x14ac:dyDescent="0.3">
      <c r="A68" s="623"/>
      <c r="B68" s="298" t="s">
        <v>186</v>
      </c>
      <c r="C68" s="341">
        <f t="shared" si="14"/>
        <v>13.377343917338212</v>
      </c>
      <c r="D68" s="342">
        <f t="shared" si="15"/>
        <v>5.8983681496953544E-3</v>
      </c>
      <c r="E68" s="343">
        <f>E89/E10</f>
        <v>13.691425223123032</v>
      </c>
      <c r="F68" s="302">
        <f>E51/D51-1</f>
        <v>2.347859991681478E-2</v>
      </c>
      <c r="G68" s="303">
        <f t="shared" si="16"/>
        <v>1.9653544362353559E-2</v>
      </c>
      <c r="H68" s="303">
        <f t="shared" si="16"/>
        <v>1.8994736373842969E-2</v>
      </c>
      <c r="I68" s="303">
        <f t="shared" si="16"/>
        <v>1.921159105286474E-2</v>
      </c>
      <c r="J68" s="304">
        <f t="shared" si="16"/>
        <v>1.8999461828060671E-2</v>
      </c>
      <c r="K68" s="305">
        <f t="shared" si="17"/>
        <v>2.0066135112053241E-2</v>
      </c>
      <c r="L68" s="340"/>
    </row>
    <row r="69" spans="1:12" x14ac:dyDescent="0.25">
      <c r="A69" s="621" t="s">
        <v>187</v>
      </c>
      <c r="B69" s="289" t="s">
        <v>188</v>
      </c>
      <c r="C69" s="337">
        <f t="shared" si="14"/>
        <v>14.619629966229684</v>
      </c>
      <c r="D69" s="338">
        <f t="shared" si="15"/>
        <v>5.5021882721127069E-2</v>
      </c>
      <c r="E69" s="339">
        <f>E52</f>
        <v>14.765711374524468</v>
      </c>
      <c r="F69" s="293">
        <f t="shared" si="16"/>
        <v>9.9921412944254939E-3</v>
      </c>
      <c r="G69" s="293">
        <f t="shared" si="16"/>
        <v>2.9210827907568904E-2</v>
      </c>
      <c r="H69" s="293">
        <f t="shared" si="16"/>
        <v>-8.3673174814510309E-3</v>
      </c>
      <c r="I69" s="293">
        <f t="shared" si="16"/>
        <v>-2.2347851340585922E-2</v>
      </c>
      <c r="J69" s="294">
        <f t="shared" si="16"/>
        <v>4.1595918499581774E-3</v>
      </c>
      <c r="K69" s="295">
        <f t="shared" si="17"/>
        <v>2.3792195100469371E-3</v>
      </c>
      <c r="L69" s="340"/>
    </row>
    <row r="70" spans="1:12" ht="12" thickBot="1" x14ac:dyDescent="0.3">
      <c r="A70" s="622"/>
      <c r="B70" s="297" t="s">
        <v>185</v>
      </c>
      <c r="C70" s="337">
        <f t="shared" si="14"/>
        <v>20.1996349828304</v>
      </c>
      <c r="D70" s="338">
        <f t="shared" si="15"/>
        <v>1.1915220409333571E-2</v>
      </c>
      <c r="E70" s="344">
        <f>E53</f>
        <v>20.305234667637624</v>
      </c>
      <c r="F70" s="293">
        <f t="shared" si="16"/>
        <v>5.2278016358702217E-3</v>
      </c>
      <c r="G70" s="293">
        <f t="shared" si="16"/>
        <v>3.2209643109417652E-3</v>
      </c>
      <c r="H70" s="293">
        <f t="shared" si="16"/>
        <v>5.0334447165703011E-3</v>
      </c>
      <c r="I70" s="293">
        <f t="shared" si="16"/>
        <v>9.9037328430737759E-3</v>
      </c>
      <c r="J70" s="294">
        <f t="shared" si="16"/>
        <v>2.8912366034308246E-3</v>
      </c>
      <c r="K70" s="295">
        <f t="shared" si="17"/>
        <v>5.2523190852309387E-3</v>
      </c>
      <c r="L70" s="340"/>
    </row>
    <row r="71" spans="1:12" ht="12" thickBot="1" x14ac:dyDescent="0.3">
      <c r="A71" s="623"/>
      <c r="B71" s="298" t="s">
        <v>186</v>
      </c>
      <c r="C71" s="341">
        <f t="shared" si="14"/>
        <v>18.944909076455563</v>
      </c>
      <c r="D71" s="342">
        <f t="shared" si="15"/>
        <v>2.9736465152895297E-2</v>
      </c>
      <c r="E71" s="345">
        <f>E92/E13</f>
        <v>19.098949258421801</v>
      </c>
      <c r="F71" s="302">
        <f t="shared" si="16"/>
        <v>8.1309538802525338E-3</v>
      </c>
      <c r="G71" s="303">
        <f t="shared" si="16"/>
        <v>6.283513881410796E-3</v>
      </c>
      <c r="H71" s="303">
        <f t="shared" si="16"/>
        <v>3.0629190696231934E-3</v>
      </c>
      <c r="I71" s="303">
        <f t="shared" si="16"/>
        <v>2.6700528301277782E-3</v>
      </c>
      <c r="J71" s="304">
        <f t="shared" si="16"/>
        <v>3.1346018102860196E-3</v>
      </c>
      <c r="K71" s="305">
        <f t="shared" si="17"/>
        <v>4.654069161950547E-3</v>
      </c>
      <c r="L71" s="340"/>
    </row>
    <row r="72" spans="1:12" x14ac:dyDescent="0.25">
      <c r="A72" s="621" t="s">
        <v>189</v>
      </c>
      <c r="B72" s="289" t="s">
        <v>188</v>
      </c>
      <c r="C72" s="337">
        <f t="shared" si="14"/>
        <v>16.263334421222929</v>
      </c>
      <c r="D72" s="338">
        <f t="shared" si="15"/>
        <v>8.4892760130062195E-2</v>
      </c>
      <c r="E72" s="339">
        <f>E55</f>
        <v>16.783463156423245</v>
      </c>
      <c r="F72" s="293">
        <f t="shared" si="16"/>
        <v>3.1981678647742262E-2</v>
      </c>
      <c r="G72" s="293">
        <f t="shared" si="16"/>
        <v>7.1438631194964186E-2</v>
      </c>
      <c r="H72" s="293">
        <f t="shared" si="16"/>
        <v>8.5100124637933483E-3</v>
      </c>
      <c r="I72" s="293">
        <f t="shared" si="16"/>
        <v>5.2390339594545976E-2</v>
      </c>
      <c r="J72" s="294">
        <f t="shared" si="16"/>
        <v>3.559827818240846E-2</v>
      </c>
      <c r="K72" s="295">
        <f t="shared" si="17"/>
        <v>3.9770603775408642E-2</v>
      </c>
      <c r="L72" s="340"/>
    </row>
    <row r="73" spans="1:12" ht="12" thickBot="1" x14ac:dyDescent="0.3">
      <c r="A73" s="622"/>
      <c r="B73" s="297" t="s">
        <v>185</v>
      </c>
      <c r="C73" s="337">
        <f t="shared" si="14"/>
        <v>22.947250659207235</v>
      </c>
      <c r="D73" s="338">
        <f t="shared" si="15"/>
        <v>-8.9182733294667083E-3</v>
      </c>
      <c r="E73" s="344">
        <f>E56</f>
        <v>23.05916438388493</v>
      </c>
      <c r="F73" s="293">
        <f t="shared" si="16"/>
        <v>4.8769992684414287E-3</v>
      </c>
      <c r="G73" s="293">
        <f t="shared" si="16"/>
        <v>1.0763811556193881E-2</v>
      </c>
      <c r="H73" s="293">
        <f t="shared" si="16"/>
        <v>3.672367983475433E-2</v>
      </c>
      <c r="I73" s="293">
        <f t="shared" si="16"/>
        <v>2.0354514377587174E-2</v>
      </c>
      <c r="J73" s="294">
        <f t="shared" si="16"/>
        <v>1.4653999055686429E-2</v>
      </c>
      <c r="K73" s="295">
        <f t="shared" si="17"/>
        <v>1.7416868981211975E-2</v>
      </c>
      <c r="L73" s="340"/>
    </row>
    <row r="74" spans="1:12" ht="12" thickBot="1" x14ac:dyDescent="0.3">
      <c r="A74" s="623"/>
      <c r="B74" s="298" t="s">
        <v>186</v>
      </c>
      <c r="C74" s="341">
        <f t="shared" si="14"/>
        <v>21.749392733161994</v>
      </c>
      <c r="D74" s="342">
        <f t="shared" si="15"/>
        <v>1.6927038947157635E-2</v>
      </c>
      <c r="E74" s="345">
        <f>E95/E16</f>
        <v>21.985190897614672</v>
      </c>
      <c r="F74" s="302">
        <f t="shared" si="16"/>
        <v>1.08415976181786E-2</v>
      </c>
      <c r="G74" s="303">
        <f t="shared" si="16"/>
        <v>1.9482373159446231E-2</v>
      </c>
      <c r="H74" s="303">
        <f t="shared" si="16"/>
        <v>3.0443700900583348E-2</v>
      </c>
      <c r="I74" s="303">
        <f t="shared" si="16"/>
        <v>2.5366609237891913E-2</v>
      </c>
      <c r="J74" s="304">
        <f t="shared" si="16"/>
        <v>1.8127741383228146E-2</v>
      </c>
      <c r="K74" s="305">
        <f t="shared" si="17"/>
        <v>2.0830664924671671E-2</v>
      </c>
      <c r="L74" s="340"/>
    </row>
    <row r="75" spans="1:12" x14ac:dyDescent="0.25">
      <c r="A75" s="621" t="s">
        <v>190</v>
      </c>
      <c r="B75" s="289" t="s">
        <v>188</v>
      </c>
      <c r="C75" s="337">
        <f t="shared" si="14"/>
        <v>11.033559938127249</v>
      </c>
      <c r="D75" s="338">
        <f t="shared" si="15"/>
        <v>-8.7365214578018158E-2</v>
      </c>
      <c r="E75" s="339">
        <f>E58</f>
        <v>10.843596608040974</v>
      </c>
      <c r="F75" s="293">
        <f t="shared" si="16"/>
        <v>-1.7216866646080686E-2</v>
      </c>
      <c r="G75" s="293">
        <f t="shared" si="16"/>
        <v>1.0717988807344536E-2</v>
      </c>
      <c r="H75" s="293">
        <f t="shared" si="16"/>
        <v>8.3557002767942201E-3</v>
      </c>
      <c r="I75" s="293">
        <f t="shared" si="16"/>
        <v>3.4303901671944192E-2</v>
      </c>
      <c r="J75" s="294">
        <f t="shared" si="16"/>
        <v>1.8973880582472624E-2</v>
      </c>
      <c r="K75" s="295">
        <f t="shared" si="17"/>
        <v>1.0886815918535797E-2</v>
      </c>
      <c r="L75" s="340"/>
    </row>
    <row r="76" spans="1:12" ht="12" thickBot="1" x14ac:dyDescent="0.3">
      <c r="A76" s="622"/>
      <c r="B76" s="297" t="s">
        <v>185</v>
      </c>
      <c r="C76" s="337">
        <f t="shared" si="14"/>
        <v>15.230674266628487</v>
      </c>
      <c r="D76" s="338">
        <f t="shared" si="15"/>
        <v>4.6614361826034179E-2</v>
      </c>
      <c r="E76" s="344">
        <f>E59</f>
        <v>15.465794040226934</v>
      </c>
      <c r="F76" s="293">
        <f t="shared" si="16"/>
        <v>1.5437253103995019E-2</v>
      </c>
      <c r="G76" s="293">
        <f t="shared" si="16"/>
        <v>1.2443824004191972E-2</v>
      </c>
      <c r="H76" s="293">
        <f t="shared" si="16"/>
        <v>9.9037805827535408E-3</v>
      </c>
      <c r="I76" s="293">
        <f t="shared" si="16"/>
        <v>8.9109299448832946E-3</v>
      </c>
      <c r="J76" s="294">
        <f t="shared" si="16"/>
        <v>8.1381842955940975E-3</v>
      </c>
      <c r="K76" s="295">
        <f t="shared" si="17"/>
        <v>1.0963284398404438E-2</v>
      </c>
      <c r="L76" s="340"/>
    </row>
    <row r="77" spans="1:12" ht="12" thickBot="1" x14ac:dyDescent="0.3">
      <c r="A77" s="623"/>
      <c r="B77" s="298" t="s">
        <v>186</v>
      </c>
      <c r="C77" s="341">
        <f t="shared" si="14"/>
        <v>13.776833470230924</v>
      </c>
      <c r="D77" s="342">
        <f t="shared" si="15"/>
        <v>1.250834240322285E-2</v>
      </c>
      <c r="E77" s="345">
        <f>E98/E19</f>
        <v>13.825342448168382</v>
      </c>
      <c r="F77" s="302">
        <f t="shared" si="16"/>
        <v>3.5210542424191082E-3</v>
      </c>
      <c r="G77" s="303">
        <f t="shared" si="16"/>
        <v>1.031071141453177E-2</v>
      </c>
      <c r="H77" s="303">
        <f t="shared" si="16"/>
        <v>1.0280115591814853E-2</v>
      </c>
      <c r="I77" s="303">
        <f t="shared" si="16"/>
        <v>1.6070146560213106E-2</v>
      </c>
      <c r="J77" s="304">
        <f t="shared" si="16"/>
        <v>1.073335732378311E-2</v>
      </c>
      <c r="K77" s="305">
        <f t="shared" si="17"/>
        <v>1.0175214068943061E-2</v>
      </c>
      <c r="L77" s="340"/>
    </row>
    <row r="78" spans="1:12" ht="12" thickBot="1" x14ac:dyDescent="0.3">
      <c r="A78" s="359" t="s">
        <v>207</v>
      </c>
      <c r="B78" s="360"/>
      <c r="C78" s="346">
        <f t="shared" si="14"/>
        <v>16.481499595151242</v>
      </c>
      <c r="D78" s="347">
        <f t="shared" si="15"/>
        <v>1.679910202150503E-2</v>
      </c>
      <c r="E78" s="348">
        <f>E99/E20</f>
        <v>16.746052772613403</v>
      </c>
      <c r="F78" s="314">
        <f t="shared" si="16"/>
        <v>1.60515234633134E-2</v>
      </c>
      <c r="G78" s="314">
        <f t="shared" si="16"/>
        <v>1.4843359005227708E-2</v>
      </c>
      <c r="H78" s="314">
        <f t="shared" si="16"/>
        <v>1.6818567607732593E-2</v>
      </c>
      <c r="I78" s="314">
        <f t="shared" si="16"/>
        <v>1.6089516496325507E-2</v>
      </c>
      <c r="J78" s="315">
        <f t="shared" si="16"/>
        <v>1.3432920099402557E-2</v>
      </c>
      <c r="K78" s="316">
        <f t="shared" si="17"/>
        <v>1.5446479722629025E-2</v>
      </c>
      <c r="L78" s="340"/>
    </row>
    <row r="79" spans="1:12" ht="12" thickTop="1" x14ac:dyDescent="0.25">
      <c r="B79" s="257" t="s">
        <v>235</v>
      </c>
      <c r="C79" s="427">
        <f>C121/D21</f>
        <v>12.587535205400698</v>
      </c>
      <c r="E79" s="427">
        <f>E121/E21</f>
        <v>12.875827506430925</v>
      </c>
      <c r="F79" s="277">
        <f>E79/C79-1</f>
        <v>2.2902998587565726E-2</v>
      </c>
      <c r="L79" s="340"/>
    </row>
    <row r="80" spans="1:12" x14ac:dyDescent="0.25">
      <c r="B80" s="257" t="s">
        <v>236</v>
      </c>
      <c r="C80" s="427">
        <f>C122/D22</f>
        <v>18.68356097481545</v>
      </c>
      <c r="E80" s="427">
        <f>E122/E22</f>
        <v>18.815121176425855</v>
      </c>
      <c r="F80" s="277">
        <f>E80/C80-1</f>
        <v>7.0414950226962425E-3</v>
      </c>
      <c r="L80" s="340"/>
    </row>
    <row r="81" spans="1:12" ht="13" x14ac:dyDescent="0.25">
      <c r="A81" s="349" t="s">
        <v>208</v>
      </c>
      <c r="L81" s="340"/>
    </row>
    <row r="83" spans="1:12" x14ac:dyDescent="0.25">
      <c r="A83" s="390" t="s">
        <v>237</v>
      </c>
      <c r="B83" s="391"/>
      <c r="C83" s="391"/>
      <c r="D83" s="391"/>
    </row>
    <row r="84" spans="1:12" ht="12" thickBot="1" x14ac:dyDescent="0.3">
      <c r="A84" s="264"/>
      <c r="B84" s="265"/>
    </row>
    <row r="85" spans="1:12" ht="25" thickTop="1" thickBot="1" x14ac:dyDescent="0.3">
      <c r="A85" s="373" t="s">
        <v>209</v>
      </c>
      <c r="B85" s="374"/>
      <c r="C85" s="372" t="s">
        <v>183</v>
      </c>
      <c r="D85" s="372" t="s">
        <v>183</v>
      </c>
      <c r="E85" s="603" t="s">
        <v>1</v>
      </c>
      <c r="F85" s="604"/>
      <c r="G85" s="604"/>
      <c r="H85" s="604"/>
      <c r="I85" s="605"/>
    </row>
    <row r="86" spans="1:12" ht="13.5" thickBot="1" x14ac:dyDescent="0.3">
      <c r="A86" s="375"/>
      <c r="B86" s="376"/>
      <c r="C86" s="266">
        <v>2019</v>
      </c>
      <c r="D86" s="266">
        <f t="shared" ref="D86:I86" si="18">C86+1</f>
        <v>2020</v>
      </c>
      <c r="E86" s="266">
        <f t="shared" si="18"/>
        <v>2021</v>
      </c>
      <c r="F86" s="266">
        <f t="shared" si="18"/>
        <v>2022</v>
      </c>
      <c r="G86" s="266">
        <f t="shared" si="18"/>
        <v>2023</v>
      </c>
      <c r="H86" s="266">
        <f t="shared" si="18"/>
        <v>2024</v>
      </c>
      <c r="I86" s="266">
        <f t="shared" si="18"/>
        <v>2025</v>
      </c>
    </row>
    <row r="87" spans="1:12" ht="13.5" customHeight="1" x14ac:dyDescent="0.25">
      <c r="A87" s="606" t="str">
        <f>A66</f>
        <v>Production agricole</v>
      </c>
      <c r="B87" s="267" t="s">
        <v>230</v>
      </c>
      <c r="C87" s="398">
        <v>3548088.708730354</v>
      </c>
      <c r="D87" s="398">
        <v>3636548.2919999999</v>
      </c>
      <c r="E87" s="399">
        <v>3565910.5163658946</v>
      </c>
      <c r="F87" s="399">
        <v>3709971.9428481529</v>
      </c>
      <c r="G87" s="399">
        <v>3884423.8802672368</v>
      </c>
      <c r="H87" s="399">
        <v>4052633.5275363387</v>
      </c>
      <c r="I87" s="399">
        <v>4220237.6315593561</v>
      </c>
    </row>
    <row r="88" spans="1:12" ht="12" customHeight="1" x14ac:dyDescent="0.25">
      <c r="A88" s="607" t="s">
        <v>184</v>
      </c>
      <c r="B88" s="269" t="s">
        <v>185</v>
      </c>
      <c r="C88" s="393">
        <v>4665071.3193988567</v>
      </c>
      <c r="D88" s="393">
        <v>4259343.5810000002</v>
      </c>
      <c r="E88" s="394">
        <v>4413444.757863896</v>
      </c>
      <c r="F88" s="394">
        <v>4560668.6520520439</v>
      </c>
      <c r="G88" s="394">
        <v>4669427.4818754122</v>
      </c>
      <c r="H88" s="394">
        <v>4788574.606507184</v>
      </c>
      <c r="I88" s="394">
        <v>4907001.7083329288</v>
      </c>
    </row>
    <row r="89" spans="1:12" ht="12.75" customHeight="1" thickBot="1" x14ac:dyDescent="0.3">
      <c r="A89" s="608"/>
      <c r="B89" s="273" t="s">
        <v>186</v>
      </c>
      <c r="C89" s="275">
        <f t="shared" ref="C89:I89" si="19">SUM(C87:C88)</f>
        <v>8213160.0281292107</v>
      </c>
      <c r="D89" s="275">
        <f t="shared" si="19"/>
        <v>7895891.8729999997</v>
      </c>
      <c r="E89" s="275">
        <f t="shared" si="19"/>
        <v>7979355.274229791</v>
      </c>
      <c r="F89" s="275">
        <f t="shared" si="19"/>
        <v>8270640.5949001964</v>
      </c>
      <c r="G89" s="275">
        <f t="shared" si="19"/>
        <v>8553851.3621426485</v>
      </c>
      <c r="H89" s="275">
        <f t="shared" si="19"/>
        <v>8841208.1340435222</v>
      </c>
      <c r="I89" s="275">
        <f t="shared" si="19"/>
        <v>9127239.3398922849</v>
      </c>
    </row>
    <row r="90" spans="1:12" ht="12" x14ac:dyDescent="0.25">
      <c r="A90" s="606" t="s">
        <v>187</v>
      </c>
      <c r="B90" s="267" t="s">
        <v>188</v>
      </c>
      <c r="C90" s="398">
        <v>827844.11775651504</v>
      </c>
      <c r="D90" s="398">
        <v>756317.43400000001</v>
      </c>
      <c r="E90" s="399">
        <v>751605.86413248524</v>
      </c>
      <c r="F90" s="399">
        <v>803517.81635022082</v>
      </c>
      <c r="G90" s="399">
        <v>802835.75956344407</v>
      </c>
      <c r="H90" s="399">
        <v>815572.8247919383</v>
      </c>
      <c r="I90" s="399">
        <v>828178.35333119298</v>
      </c>
    </row>
    <row r="91" spans="1:12" ht="12" x14ac:dyDescent="0.25">
      <c r="A91" s="607"/>
      <c r="B91" s="269" t="s">
        <v>185</v>
      </c>
      <c r="C91" s="393">
        <v>3462292.3686933005</v>
      </c>
      <c r="D91" s="393">
        <v>3602272.1910000001</v>
      </c>
      <c r="E91" s="394">
        <v>3712840.1723225228</v>
      </c>
      <c r="F91" s="394">
        <v>3761352.9848847198</v>
      </c>
      <c r="G91" s="394">
        <v>3839536.7883332665</v>
      </c>
      <c r="H91" s="394">
        <v>3906457.7755432837</v>
      </c>
      <c r="I91" s="394">
        <v>3963613.4046626245</v>
      </c>
    </row>
    <row r="92" spans="1:12" ht="12.5" thickBot="1" x14ac:dyDescent="0.3">
      <c r="A92" s="608"/>
      <c r="B92" s="273" t="s">
        <v>186</v>
      </c>
      <c r="C92" s="275">
        <f t="shared" ref="C92:I92" si="20">SUM(C90:C91)</f>
        <v>4290136.4864498153</v>
      </c>
      <c r="D92" s="275">
        <f t="shared" si="20"/>
        <v>4358589.625</v>
      </c>
      <c r="E92" s="275">
        <f t="shared" si="20"/>
        <v>4464446.0364550082</v>
      </c>
      <c r="F92" s="275">
        <f t="shared" si="20"/>
        <v>4564870.801234941</v>
      </c>
      <c r="G92" s="275">
        <f t="shared" si="20"/>
        <v>4642372.5478967102</v>
      </c>
      <c r="H92" s="275">
        <f t="shared" si="20"/>
        <v>4722030.6003352217</v>
      </c>
      <c r="I92" s="275">
        <f t="shared" si="20"/>
        <v>4791791.7579938173</v>
      </c>
    </row>
    <row r="93" spans="1:12" ht="12" x14ac:dyDescent="0.25">
      <c r="A93" s="606" t="s">
        <v>189</v>
      </c>
      <c r="B93" s="267" t="s">
        <v>188</v>
      </c>
      <c r="C93" s="398">
        <v>1085679.1745232206</v>
      </c>
      <c r="D93" s="398">
        <v>959404.88399999996</v>
      </c>
      <c r="E93" s="399">
        <v>962047.69614983129</v>
      </c>
      <c r="F93" s="399">
        <v>1018158.4857793842</v>
      </c>
      <c r="G93" s="399">
        <v>1079846.5639480979</v>
      </c>
      <c r="H93" s="399">
        <v>1117612.2927439325</v>
      </c>
      <c r="I93" s="399">
        <v>1140495.7596870498</v>
      </c>
      <c r="K93" s="271"/>
      <c r="L93" s="271"/>
    </row>
    <row r="94" spans="1:12" ht="12" x14ac:dyDescent="0.25">
      <c r="A94" s="607"/>
      <c r="B94" s="269" t="s">
        <v>185</v>
      </c>
      <c r="C94" s="393">
        <v>6072520.5014557652</v>
      </c>
      <c r="D94" s="393">
        <v>6199806.0089999996</v>
      </c>
      <c r="E94" s="394">
        <v>6401955.4449156253</v>
      </c>
      <c r="F94" s="394">
        <v>6541856.7079983884</v>
      </c>
      <c r="G94" s="394">
        <v>6685940.1455138922</v>
      </c>
      <c r="H94" s="394">
        <v>6816959.9417453129</v>
      </c>
      <c r="I94" s="394">
        <v>6928976.6877485868</v>
      </c>
      <c r="K94" s="271"/>
      <c r="L94" s="271"/>
    </row>
    <row r="95" spans="1:12" ht="12.5" thickBot="1" x14ac:dyDescent="0.3">
      <c r="A95" s="608"/>
      <c r="B95" s="273" t="s">
        <v>186</v>
      </c>
      <c r="C95" s="275">
        <f>SUM(C93:C94)</f>
        <v>7158199.6759789856</v>
      </c>
      <c r="D95" s="275">
        <f t="shared" ref="D95:I95" si="21">SUM(D93:D94)</f>
        <v>7159210.8929999992</v>
      </c>
      <c r="E95" s="275">
        <f t="shared" si="21"/>
        <v>7364003.1410654569</v>
      </c>
      <c r="F95" s="275">
        <f t="shared" si="21"/>
        <v>7560015.1937777726</v>
      </c>
      <c r="G95" s="275">
        <f t="shared" si="21"/>
        <v>7765786.7094619898</v>
      </c>
      <c r="H95" s="275">
        <f t="shared" si="21"/>
        <v>7934572.2344892453</v>
      </c>
      <c r="I95" s="275">
        <f t="shared" si="21"/>
        <v>8069472.4474356361</v>
      </c>
      <c r="L95" s="271"/>
    </row>
    <row r="96" spans="1:12" ht="12" x14ac:dyDescent="0.25">
      <c r="A96" s="620" t="s">
        <v>190</v>
      </c>
      <c r="B96" s="269" t="s">
        <v>188</v>
      </c>
      <c r="C96" s="393">
        <v>795834.97613399697</v>
      </c>
      <c r="D96" s="393">
        <v>662119.69499999995</v>
      </c>
      <c r="E96" s="394">
        <v>691274.20548131026</v>
      </c>
      <c r="F96" s="394">
        <v>727705.40984171175</v>
      </c>
      <c r="G96" s="394">
        <v>747263.05193985219</v>
      </c>
      <c r="H96" s="394">
        <v>784349.54970769899</v>
      </c>
      <c r="I96" s="394">
        <v>813477.82496393414</v>
      </c>
      <c r="K96" s="271"/>
      <c r="L96" s="271"/>
    </row>
    <row r="97" spans="1:12" ht="12" x14ac:dyDescent="0.25">
      <c r="A97" s="607"/>
      <c r="B97" s="278" t="s">
        <v>185</v>
      </c>
      <c r="C97" s="393">
        <v>1536493.7681159177</v>
      </c>
      <c r="D97" s="393">
        <v>1724615.32</v>
      </c>
      <c r="E97" s="402">
        <v>1792076.0000634172</v>
      </c>
      <c r="F97" s="402">
        <v>1850144.4601140281</v>
      </c>
      <c r="G97" s="402">
        <v>1922625.2587927454</v>
      </c>
      <c r="H97" s="402">
        <v>1969893.5869771077</v>
      </c>
      <c r="I97" s="402">
        <v>2007427.9343529392</v>
      </c>
    </row>
    <row r="98" spans="1:12" ht="12.5" thickBot="1" x14ac:dyDescent="0.3">
      <c r="A98" s="608"/>
      <c r="B98" s="273" t="s">
        <v>186</v>
      </c>
      <c r="C98" s="275">
        <f t="shared" ref="C98:I98" si="22">SUM(C96:C97)</f>
        <v>2332328.7442499148</v>
      </c>
      <c r="D98" s="275">
        <f t="shared" si="22"/>
        <v>2386735.0150000001</v>
      </c>
      <c r="E98" s="275">
        <f t="shared" si="22"/>
        <v>2483350.2055447274</v>
      </c>
      <c r="F98" s="275">
        <f t="shared" si="22"/>
        <v>2577849.8699557399</v>
      </c>
      <c r="G98" s="275">
        <f t="shared" si="22"/>
        <v>2669888.3107325975</v>
      </c>
      <c r="H98" s="275">
        <f t="shared" si="22"/>
        <v>2754243.1366848066</v>
      </c>
      <c r="I98" s="275">
        <f t="shared" si="22"/>
        <v>2820905.7593168733</v>
      </c>
    </row>
    <row r="99" spans="1:12" ht="13.5" thickBot="1" x14ac:dyDescent="0.3">
      <c r="A99" s="370" t="s">
        <v>210</v>
      </c>
      <c r="B99" s="371"/>
      <c r="C99" s="279">
        <f t="shared" ref="C99:I99" si="23">C89+C92+C95+C98</f>
        <v>21993824.934807926</v>
      </c>
      <c r="D99" s="279">
        <f t="shared" si="23"/>
        <v>21800427.405999999</v>
      </c>
      <c r="E99" s="279">
        <f t="shared" si="23"/>
        <v>22291154.657294985</v>
      </c>
      <c r="F99" s="279">
        <f t="shared" si="23"/>
        <v>22973376.459868651</v>
      </c>
      <c r="G99" s="279">
        <f t="shared" si="23"/>
        <v>23631898.930233948</v>
      </c>
      <c r="H99" s="279">
        <f t="shared" si="23"/>
        <v>24252054.105552793</v>
      </c>
      <c r="I99" s="279">
        <f t="shared" si="23"/>
        <v>24809409.304638613</v>
      </c>
    </row>
    <row r="100" spans="1:12" ht="13.5" thickTop="1" x14ac:dyDescent="0.25">
      <c r="A100" s="404"/>
      <c r="B100" s="405" t="s">
        <v>231</v>
      </c>
      <c r="C100" s="406">
        <f>C87+C90+C93+C96</f>
        <v>6257446.9771440858</v>
      </c>
      <c r="D100" s="407">
        <f>D87+D90+D93+D96</f>
        <v>6014390.3049999997</v>
      </c>
      <c r="E100" s="408">
        <f t="shared" ref="E100:I101" si="24">E87+E90+E93+E96</f>
        <v>5970838.2821295215</v>
      </c>
      <c r="F100" s="407">
        <f t="shared" si="24"/>
        <v>6259353.6548194699</v>
      </c>
      <c r="G100" s="408">
        <f t="shared" si="24"/>
        <v>6514369.2557186307</v>
      </c>
      <c r="H100" s="407">
        <f t="shared" si="24"/>
        <v>6770168.1947799083</v>
      </c>
      <c r="I100" s="409">
        <f t="shared" si="24"/>
        <v>7002389.5695415335</v>
      </c>
      <c r="J100"/>
      <c r="K100"/>
    </row>
    <row r="101" spans="1:12" ht="13.5" thickBot="1" x14ac:dyDescent="0.3">
      <c r="A101" s="410"/>
      <c r="B101" s="411" t="s">
        <v>232</v>
      </c>
      <c r="C101" s="412">
        <f>C88+C91+C94+C97</f>
        <v>15736377.95766384</v>
      </c>
      <c r="D101" s="413">
        <f>D88+D91+D94+D97</f>
        <v>15786037.101</v>
      </c>
      <c r="E101" s="414">
        <f t="shared" si="24"/>
        <v>16320316.375165461</v>
      </c>
      <c r="F101" s="413">
        <f t="shared" si="24"/>
        <v>16714022.805049181</v>
      </c>
      <c r="G101" s="414">
        <f t="shared" si="24"/>
        <v>17117529.674515318</v>
      </c>
      <c r="H101" s="413">
        <f t="shared" si="24"/>
        <v>17481885.91077289</v>
      </c>
      <c r="I101" s="412">
        <f t="shared" si="24"/>
        <v>17807019.73509708</v>
      </c>
      <c r="J101"/>
      <c r="K101"/>
    </row>
    <row r="102" spans="1:12" ht="13" x14ac:dyDescent="0.25">
      <c r="A102" s="428"/>
      <c r="B102" s="429"/>
      <c r="C102" s="408"/>
      <c r="D102" s="408"/>
      <c r="E102" s="408"/>
      <c r="F102" s="408"/>
      <c r="G102" s="408"/>
      <c r="H102" s="408"/>
      <c r="I102" s="408"/>
    </row>
    <row r="103" spans="1:12" x14ac:dyDescent="0.25">
      <c r="A103" s="172" t="s">
        <v>192</v>
      </c>
    </row>
    <row r="104" spans="1:12" x14ac:dyDescent="0.25">
      <c r="A104" s="390" t="s">
        <v>229</v>
      </c>
      <c r="B104" s="390"/>
      <c r="C104" s="390"/>
      <c r="D104" s="390"/>
    </row>
    <row r="105" spans="1:12" ht="12" thickBot="1" x14ac:dyDescent="0.3"/>
    <row r="106" spans="1:12" ht="12.5" thickTop="1" thickBot="1" x14ac:dyDescent="0.3">
      <c r="A106" s="368" t="s">
        <v>211</v>
      </c>
      <c r="B106" s="369"/>
      <c r="C106" s="615" t="s">
        <v>183</v>
      </c>
      <c r="D106" s="616"/>
      <c r="E106" s="361" t="s">
        <v>1</v>
      </c>
      <c r="F106" s="362"/>
      <c r="G106" s="362"/>
      <c r="H106" s="362"/>
      <c r="I106" s="362"/>
      <c r="J106" s="363"/>
      <c r="K106" s="624" t="s">
        <v>194</v>
      </c>
      <c r="L106" s="624" t="str">
        <f>L25</f>
        <v>Contribution moyenne</v>
      </c>
    </row>
    <row r="107" spans="1:12" ht="12.5" thickTop="1" thickBot="1" x14ac:dyDescent="0.3">
      <c r="A107" s="366" t="s">
        <v>212</v>
      </c>
      <c r="B107" s="367"/>
      <c r="C107" s="350">
        <v>2020</v>
      </c>
      <c r="D107" s="350" t="s">
        <v>197</v>
      </c>
      <c r="E107" s="285">
        <f>C107+1</f>
        <v>2021</v>
      </c>
      <c r="F107" s="286" t="s">
        <v>198</v>
      </c>
      <c r="G107" s="287" t="s">
        <v>199</v>
      </c>
      <c r="H107" s="287" t="s">
        <v>200</v>
      </c>
      <c r="I107" s="287" t="s">
        <v>201</v>
      </c>
      <c r="J107" s="288" t="s">
        <v>233</v>
      </c>
      <c r="K107" s="625"/>
      <c r="L107" s="625"/>
    </row>
    <row r="108" spans="1:12" x14ac:dyDescent="0.25">
      <c r="A108" s="621" t="s">
        <v>184</v>
      </c>
      <c r="B108" s="289" t="s">
        <v>230</v>
      </c>
      <c r="C108" s="430">
        <f>D87</f>
        <v>3636548.2919999999</v>
      </c>
      <c r="D108" s="431">
        <f>D87/C87-1</f>
        <v>2.4931615450308309E-2</v>
      </c>
      <c r="E108" s="430">
        <f>C108*(1+F108)</f>
        <v>3565910.5163658946</v>
      </c>
      <c r="F108" s="432">
        <v>-1.9424401922422008E-2</v>
      </c>
      <c r="G108" s="432">
        <v>4.0399619065336179E-2</v>
      </c>
      <c r="H108" s="432">
        <v>4.70224411684248E-2</v>
      </c>
      <c r="I108" s="432">
        <v>4.3303628145116235E-2</v>
      </c>
      <c r="J108" s="433">
        <v>4.1356836951627063E-2</v>
      </c>
      <c r="K108" s="434">
        <f t="shared" ref="K108:K122" si="25">(I87/D87)^(1/5)-1</f>
        <v>3.0218891194877306E-2</v>
      </c>
      <c r="L108" s="435" t="e">
        <f t="shared" ref="L108:L121" si="26">(C108/$C$127)*K108*100</f>
        <v>#DIV/0!</v>
      </c>
    </row>
    <row r="109" spans="1:12" ht="12" thickBot="1" x14ac:dyDescent="0.3">
      <c r="A109" s="622"/>
      <c r="B109" s="297" t="s">
        <v>185</v>
      </c>
      <c r="C109" s="430">
        <f>D88</f>
        <v>4259343.5810000002</v>
      </c>
      <c r="D109" s="431">
        <f t="shared" ref="D109:D122" si="27">D88/C88-1</f>
        <v>-8.6971390279010463E-2</v>
      </c>
      <c r="E109" s="430">
        <f>C109*(1+F109)</f>
        <v>4413444.757863896</v>
      </c>
      <c r="F109" s="432">
        <v>3.6179560050357829E-2</v>
      </c>
      <c r="G109" s="432">
        <v>3.3358046212275339E-2</v>
      </c>
      <c r="H109" s="432">
        <v>2.3847123770860401E-2</v>
      </c>
      <c r="I109" s="432">
        <v>2.5516431103009163E-2</v>
      </c>
      <c r="J109" s="433">
        <v>2.4731180269137898E-2</v>
      </c>
      <c r="K109" s="434">
        <f t="shared" si="25"/>
        <v>2.8714134442155759E-2</v>
      </c>
      <c r="L109" s="435" t="e">
        <f t="shared" si="26"/>
        <v>#DIV/0!</v>
      </c>
    </row>
    <row r="110" spans="1:12" ht="12" thickBot="1" x14ac:dyDescent="0.3">
      <c r="A110" s="623"/>
      <c r="B110" s="298" t="s">
        <v>186</v>
      </c>
      <c r="C110" s="436">
        <f>C108+C109</f>
        <v>7895891.8729999997</v>
      </c>
      <c r="D110" s="437">
        <f t="shared" si="27"/>
        <v>-3.862924307362825E-2</v>
      </c>
      <c r="E110" s="438">
        <f>E108+E109</f>
        <v>7979355.274229791</v>
      </c>
      <c r="F110" s="439">
        <f>E89/D89-1</f>
        <v>1.0570484319218476E-2</v>
      </c>
      <c r="G110" s="440">
        <v>3.6504869210566948E-2</v>
      </c>
      <c r="H110" s="440">
        <v>3.4242905853880901E-2</v>
      </c>
      <c r="I110" s="440">
        <v>3.3593846763885438E-2</v>
      </c>
      <c r="J110" s="441">
        <v>3.2352049800454807E-2</v>
      </c>
      <c r="K110" s="442">
        <f t="shared" si="25"/>
        <v>2.9408261410438286E-2</v>
      </c>
      <c r="L110" s="443" t="e">
        <f t="shared" si="26"/>
        <v>#DIV/0!</v>
      </c>
    </row>
    <row r="111" spans="1:12" x14ac:dyDescent="0.25">
      <c r="A111" s="621" t="s">
        <v>187</v>
      </c>
      <c r="B111" s="289" t="s">
        <v>188</v>
      </c>
      <c r="C111" s="430">
        <f>D90</f>
        <v>756317.43400000001</v>
      </c>
      <c r="D111" s="431">
        <f t="shared" si="27"/>
        <v>-8.6401149953634682E-2</v>
      </c>
      <c r="E111" s="430">
        <f>C111*(1+F111)</f>
        <v>751605.86413248524</v>
      </c>
      <c r="F111" s="432">
        <v>-6.2296195429428769E-3</v>
      </c>
      <c r="G111" s="432">
        <v>6.9068051082402215E-2</v>
      </c>
      <c r="H111" s="432">
        <v>-8.4883841141802918E-4</v>
      </c>
      <c r="I111" s="432">
        <v>1.5865094543646485E-2</v>
      </c>
      <c r="J111" s="433">
        <v>1.5456042864682829E-2</v>
      </c>
      <c r="K111" s="434">
        <f t="shared" si="25"/>
        <v>1.8319247781100501E-2</v>
      </c>
      <c r="L111" s="435" t="e">
        <f t="shared" si="26"/>
        <v>#DIV/0!</v>
      </c>
    </row>
    <row r="112" spans="1:12" ht="12" thickBot="1" x14ac:dyDescent="0.3">
      <c r="A112" s="622"/>
      <c r="B112" s="297" t="s">
        <v>185</v>
      </c>
      <c r="C112" s="444">
        <f>D91</f>
        <v>3602272.1910000001</v>
      </c>
      <c r="D112" s="431">
        <f t="shared" si="27"/>
        <v>4.0429809906414427E-2</v>
      </c>
      <c r="E112" s="444">
        <f>C112*(1+F112)</f>
        <v>3712840.1723225228</v>
      </c>
      <c r="F112" s="432">
        <v>3.0693955220476798E-2</v>
      </c>
      <c r="G112" s="432">
        <v>1.3066227015058995E-2</v>
      </c>
      <c r="H112" s="432">
        <v>2.0786085156786482E-2</v>
      </c>
      <c r="I112" s="432">
        <v>1.7429442898779346E-2</v>
      </c>
      <c r="J112" s="433">
        <v>1.4631062820432472E-2</v>
      </c>
      <c r="K112" s="434">
        <f t="shared" si="25"/>
        <v>1.9302178990244778E-2</v>
      </c>
      <c r="L112" s="435" t="e">
        <f t="shared" si="26"/>
        <v>#DIV/0!</v>
      </c>
    </row>
    <row r="113" spans="1:13" ht="12" thickBot="1" x14ac:dyDescent="0.3">
      <c r="A113" s="623"/>
      <c r="B113" s="298" t="s">
        <v>186</v>
      </c>
      <c r="C113" s="445">
        <f>C111+C112</f>
        <v>4358589.625</v>
      </c>
      <c r="D113" s="437">
        <f t="shared" si="27"/>
        <v>1.5955934914050118E-2</v>
      </c>
      <c r="E113" s="446">
        <f>E111+E112</f>
        <v>4464446.0364550082</v>
      </c>
      <c r="F113" s="439">
        <f>E92/D92-1</f>
        <v>2.4286849775403629E-2</v>
      </c>
      <c r="G113" s="440">
        <v>2.2494339490252813E-2</v>
      </c>
      <c r="H113" s="440">
        <v>1.6977862032985236E-2</v>
      </c>
      <c r="I113" s="440">
        <v>1.715890993595548E-2</v>
      </c>
      <c r="J113" s="441">
        <v>1.4773550525835955E-2</v>
      </c>
      <c r="K113" s="442">
        <f t="shared" si="25"/>
        <v>1.9131889137216085E-2</v>
      </c>
      <c r="L113" s="443" t="e">
        <f t="shared" si="26"/>
        <v>#DIV/0!</v>
      </c>
    </row>
    <row r="114" spans="1:13" x14ac:dyDescent="0.25">
      <c r="A114" s="621" t="s">
        <v>189</v>
      </c>
      <c r="B114" s="289" t="s">
        <v>188</v>
      </c>
      <c r="C114" s="430">
        <f>D93</f>
        <v>959404.88399999996</v>
      </c>
      <c r="D114" s="431">
        <f t="shared" si="27"/>
        <v>-0.11630902893451411</v>
      </c>
      <c r="E114" s="430">
        <f>C114*(1+F114)</f>
        <v>962047.69614983129</v>
      </c>
      <c r="F114" s="432">
        <v>2.7546369566233686E-3</v>
      </c>
      <c r="G114" s="432">
        <v>5.8324332415234048E-2</v>
      </c>
      <c r="H114" s="432">
        <v>6.058789376144369E-2</v>
      </c>
      <c r="I114" s="432">
        <v>3.4973236065832136E-2</v>
      </c>
      <c r="J114" s="433">
        <v>2.0475317864421916E-2</v>
      </c>
      <c r="K114" s="434">
        <f t="shared" si="25"/>
        <v>3.5185904857535588E-2</v>
      </c>
      <c r="L114" s="435" t="e">
        <f t="shared" si="26"/>
        <v>#DIV/0!</v>
      </c>
    </row>
    <row r="115" spans="1:13" ht="12" thickBot="1" x14ac:dyDescent="0.3">
      <c r="A115" s="622"/>
      <c r="B115" s="297" t="s">
        <v>185</v>
      </c>
      <c r="C115" s="444">
        <f>D94</f>
        <v>6199806.0089999996</v>
      </c>
      <c r="D115" s="431">
        <f t="shared" si="27"/>
        <v>2.096090206920187E-2</v>
      </c>
      <c r="E115" s="444">
        <f>C115*(1+F115)</f>
        <v>6401955.4449156253</v>
      </c>
      <c r="F115" s="432">
        <v>3.2605767925992124E-2</v>
      </c>
      <c r="G115" s="432">
        <v>2.1852895460850341E-2</v>
      </c>
      <c r="H115" s="432">
        <v>2.2024853791025478E-2</v>
      </c>
      <c r="I115" s="432">
        <v>1.9596316057261198E-2</v>
      </c>
      <c r="J115" s="433">
        <v>1.6432067514041249E-2</v>
      </c>
      <c r="K115" s="434">
        <f t="shared" si="25"/>
        <v>2.2487953145330364E-2</v>
      </c>
      <c r="L115" s="435" t="e">
        <f t="shared" si="26"/>
        <v>#DIV/0!</v>
      </c>
    </row>
    <row r="116" spans="1:13" ht="12" thickBot="1" x14ac:dyDescent="0.3">
      <c r="A116" s="623"/>
      <c r="B116" s="298" t="s">
        <v>186</v>
      </c>
      <c r="C116" s="445">
        <f>C114+C115</f>
        <v>7159210.8929999992</v>
      </c>
      <c r="D116" s="437">
        <f t="shared" si="27"/>
        <v>1.4126694794591721E-4</v>
      </c>
      <c r="E116" s="446">
        <f>E114+E115</f>
        <v>7364003.1410654569</v>
      </c>
      <c r="F116" s="439">
        <f>E95/D95-1</f>
        <v>2.8605421900016248E-2</v>
      </c>
      <c r="G116" s="440">
        <v>2.6617594935457234E-2</v>
      </c>
      <c r="H116" s="440">
        <v>2.7218399753161426E-2</v>
      </c>
      <c r="I116" s="440">
        <v>2.1734504351195172E-2</v>
      </c>
      <c r="J116" s="441">
        <v>1.7001573488740762E-2</v>
      </c>
      <c r="K116" s="442">
        <f t="shared" si="25"/>
        <v>2.4226474565218314E-2</v>
      </c>
      <c r="L116" s="443" t="e">
        <f t="shared" si="26"/>
        <v>#DIV/0!</v>
      </c>
    </row>
    <row r="117" spans="1:13" x14ac:dyDescent="0.25">
      <c r="A117" s="621" t="s">
        <v>190</v>
      </c>
      <c r="B117" s="289" t="s">
        <v>188</v>
      </c>
      <c r="C117" s="430">
        <f>D96</f>
        <v>662119.69499999995</v>
      </c>
      <c r="D117" s="431">
        <f t="shared" si="27"/>
        <v>-0.16801885459163712</v>
      </c>
      <c r="E117" s="430">
        <f>C117*(1+F117)</f>
        <v>691274.20548131026</v>
      </c>
      <c r="F117" s="432">
        <v>4.4032084684190398E-2</v>
      </c>
      <c r="G117" s="432">
        <v>5.2701524332208649E-2</v>
      </c>
      <c r="H117" s="432">
        <v>2.6875768454702742E-2</v>
      </c>
      <c r="I117" s="432">
        <v>4.9629775848775592E-2</v>
      </c>
      <c r="J117" s="433">
        <v>3.7136854693280874E-2</v>
      </c>
      <c r="K117" s="434">
        <f t="shared" si="25"/>
        <v>4.2033887032595141E-2</v>
      </c>
      <c r="L117" s="435" t="e">
        <f t="shared" si="26"/>
        <v>#DIV/0!</v>
      </c>
    </row>
    <row r="118" spans="1:13" ht="12" thickBot="1" x14ac:dyDescent="0.3">
      <c r="A118" s="622"/>
      <c r="B118" s="297" t="s">
        <v>185</v>
      </c>
      <c r="C118" s="444">
        <f>D97</f>
        <v>1724615.32</v>
      </c>
      <c r="D118" s="431">
        <f t="shared" si="27"/>
        <v>0.12243561008045023</v>
      </c>
      <c r="E118" s="444">
        <f>C118*(1+F118)</f>
        <v>1792076.0000634172</v>
      </c>
      <c r="F118" s="432">
        <v>3.911636367895488E-2</v>
      </c>
      <c r="G118" s="432">
        <v>3.2402900350518626E-2</v>
      </c>
      <c r="H118" s="432">
        <v>3.9175750997438419E-2</v>
      </c>
      <c r="I118" s="432">
        <v>2.4585304894019222E-2</v>
      </c>
      <c r="J118" s="433">
        <v>1.9053997446344173E-2</v>
      </c>
      <c r="K118" s="434">
        <f t="shared" si="25"/>
        <v>3.0835923241683494E-2</v>
      </c>
      <c r="L118" s="435" t="e">
        <f t="shared" si="26"/>
        <v>#DIV/0!</v>
      </c>
    </row>
    <row r="119" spans="1:13" ht="12" thickBot="1" x14ac:dyDescent="0.3">
      <c r="A119" s="623"/>
      <c r="B119" s="298" t="s">
        <v>186</v>
      </c>
      <c r="C119" s="445">
        <f>C117+C118</f>
        <v>2386735.0150000001</v>
      </c>
      <c r="D119" s="437">
        <f>D98/C98-1</f>
        <v>2.332701634973966E-2</v>
      </c>
      <c r="E119" s="446">
        <f>E117+E118</f>
        <v>2483350.2055447274</v>
      </c>
      <c r="F119" s="439">
        <f>E98/D98-1</f>
        <v>4.0480065837860568E-2</v>
      </c>
      <c r="G119" s="440">
        <v>3.8053297597744118E-2</v>
      </c>
      <c r="H119" s="440">
        <v>3.570356902841576E-2</v>
      </c>
      <c r="I119" s="440">
        <v>3.1594889424068295E-2</v>
      </c>
      <c r="J119" s="441">
        <v>2.4203608513773567E-2</v>
      </c>
      <c r="K119" s="442">
        <f t="shared" si="25"/>
        <v>3.3991276123143344E-2</v>
      </c>
      <c r="L119" s="443" t="e">
        <f t="shared" si="26"/>
        <v>#DIV/0!</v>
      </c>
    </row>
    <row r="120" spans="1:13" ht="13.5" customHeight="1" thickBot="1" x14ac:dyDescent="0.3">
      <c r="A120" s="626" t="s">
        <v>210</v>
      </c>
      <c r="B120" s="627"/>
      <c r="C120" s="553">
        <f>C110+C113+C116+C119</f>
        <v>21800427.405999999</v>
      </c>
      <c r="D120" s="548">
        <f t="shared" si="27"/>
        <v>-8.7932648996332796E-3</v>
      </c>
      <c r="E120" s="549">
        <f>E110+E113+E116+E119</f>
        <v>22291154.657294985</v>
      </c>
      <c r="F120" s="550">
        <f>E99/D99-1</f>
        <v>2.2509983045558402E-2</v>
      </c>
      <c r="G120" s="550">
        <f t="shared" ref="G120:J122" si="28">F99/E99-1</f>
        <v>3.0605045501777228E-2</v>
      </c>
      <c r="H120" s="550">
        <f t="shared" si="28"/>
        <v>2.8664592316921533E-2</v>
      </c>
      <c r="I120" s="550">
        <f t="shared" si="28"/>
        <v>2.6242291283898433E-2</v>
      </c>
      <c r="J120" s="551">
        <f t="shared" si="28"/>
        <v>2.2981772870043438E-2</v>
      </c>
      <c r="K120" s="552">
        <f t="shared" si="25"/>
        <v>2.6195918943696439E-2</v>
      </c>
      <c r="L120" s="554" t="e">
        <f t="shared" si="26"/>
        <v>#DIV/0!</v>
      </c>
    </row>
    <row r="121" spans="1:13" ht="13.5" thickTop="1" thickBot="1" x14ac:dyDescent="0.3">
      <c r="A121" s="404"/>
      <c r="B121" s="447" t="s">
        <v>231</v>
      </c>
      <c r="C121" s="448">
        <f>D100</f>
        <v>6014390.3049999997</v>
      </c>
      <c r="D121" s="449">
        <f t="shared" si="27"/>
        <v>-3.8842785729047868E-2</v>
      </c>
      <c r="E121" s="448">
        <f>E108+E111+E114+E117</f>
        <v>5970838.2821295215</v>
      </c>
      <c r="F121" s="450">
        <f>E100/D100-1</f>
        <v>-7.2413030518274635E-3</v>
      </c>
      <c r="G121" s="450">
        <f t="shared" si="28"/>
        <v>4.8320748118980683E-2</v>
      </c>
      <c r="H121" s="450">
        <f t="shared" si="28"/>
        <v>4.0741523000990432E-2</v>
      </c>
      <c r="I121" s="450">
        <f t="shared" si="28"/>
        <v>3.9266877424352975E-2</v>
      </c>
      <c r="J121" s="451">
        <f t="shared" si="28"/>
        <v>3.4300680290436203E-2</v>
      </c>
      <c r="K121" s="452">
        <f t="shared" si="25"/>
        <v>3.0886689191177652E-2</v>
      </c>
      <c r="L121" s="453" t="e">
        <f t="shared" si="26"/>
        <v>#DIV/0!</v>
      </c>
      <c r="M121"/>
    </row>
    <row r="122" spans="1:13" ht="13" thickBot="1" x14ac:dyDescent="0.3">
      <c r="A122" s="410"/>
      <c r="B122" s="447" t="s">
        <v>232</v>
      </c>
      <c r="C122" s="454">
        <f>D101</f>
        <v>15786037.101</v>
      </c>
      <c r="D122" s="455">
        <f t="shared" si="27"/>
        <v>3.1556908120635718E-3</v>
      </c>
      <c r="E122" s="454">
        <f>E109+E112+E115+E118</f>
        <v>16320316.375165461</v>
      </c>
      <c r="F122" s="456">
        <f>E101/D101-1</f>
        <v>3.3845053748899234E-2</v>
      </c>
      <c r="G122" s="456">
        <f t="shared" si="28"/>
        <v>2.4123700842149098E-2</v>
      </c>
      <c r="H122" s="456">
        <f t="shared" si="28"/>
        <v>2.4141816376141323E-2</v>
      </c>
      <c r="I122" s="456">
        <f t="shared" si="28"/>
        <v>2.128556182963881E-2</v>
      </c>
      <c r="J122" s="457">
        <f t="shared" si="28"/>
        <v>1.8598326632702333E-2</v>
      </c>
      <c r="K122" s="458">
        <f t="shared" si="25"/>
        <v>2.4385975742306165E-2</v>
      </c>
      <c r="L122" s="459" t="e">
        <f>(C122/$C$127)*K122*100</f>
        <v>#DIV/0!</v>
      </c>
      <c r="M122"/>
    </row>
  </sheetData>
  <mergeCells count="40">
    <mergeCell ref="A111:A113"/>
    <mergeCell ref="A114:A116"/>
    <mergeCell ref="A117:A119"/>
    <mergeCell ref="A120:B120"/>
    <mergeCell ref="C106:D106"/>
    <mergeCell ref="A108:A110"/>
    <mergeCell ref="K106:K107"/>
    <mergeCell ref="L106:L107"/>
    <mergeCell ref="A87:A89"/>
    <mergeCell ref="A90:A92"/>
    <mergeCell ref="A93:A95"/>
    <mergeCell ref="A96:A98"/>
    <mergeCell ref="A75:A77"/>
    <mergeCell ref="E85:I85"/>
    <mergeCell ref="A55:A57"/>
    <mergeCell ref="A58:A60"/>
    <mergeCell ref="K54:K56"/>
    <mergeCell ref="K57:K59"/>
    <mergeCell ref="K60:K62"/>
    <mergeCell ref="A52:A54"/>
    <mergeCell ref="C64:D64"/>
    <mergeCell ref="E64:J64"/>
    <mergeCell ref="A66:A68"/>
    <mergeCell ref="A69:A71"/>
    <mergeCell ref="A72:A74"/>
    <mergeCell ref="E47:I47"/>
    <mergeCell ref="A49:A51"/>
    <mergeCell ref="K50:K53"/>
    <mergeCell ref="A6:B7"/>
    <mergeCell ref="E6:I6"/>
    <mergeCell ref="C25:D25"/>
    <mergeCell ref="E25:J25"/>
    <mergeCell ref="A8:A10"/>
    <mergeCell ref="A11:A13"/>
    <mergeCell ref="A14:A16"/>
    <mergeCell ref="A17:A19"/>
    <mergeCell ref="A27:A29"/>
    <mergeCell ref="A30:A32"/>
    <mergeCell ref="A33:A35"/>
    <mergeCell ref="A36:A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pane xSplit="1" topLeftCell="B1" activePane="topRight" state="frozen"/>
      <selection pane="topRight"/>
    </sheetView>
  </sheetViews>
  <sheetFormatPr baseColWidth="10" defaultRowHeight="12.5" x14ac:dyDescent="0.25"/>
  <cols>
    <col min="1" max="1" width="27.54296875" bestFit="1" customWidth="1"/>
    <col min="2" max="2" width="18.26953125" bestFit="1" customWidth="1"/>
    <col min="3" max="6" width="9.453125" bestFit="1" customWidth="1"/>
    <col min="7" max="8" width="7.81640625" bestFit="1" customWidth="1"/>
    <col min="9" max="9" width="79.7265625" bestFit="1" customWidth="1"/>
  </cols>
  <sheetData>
    <row r="1" spans="1:13" ht="13" thickBot="1" x14ac:dyDescent="0.3">
      <c r="A1" s="463"/>
      <c r="B1" s="464">
        <v>2019</v>
      </c>
      <c r="C1" s="464">
        <f t="shared" ref="C1:H1" si="0">B1+1</f>
        <v>2020</v>
      </c>
      <c r="D1" s="464">
        <f t="shared" si="0"/>
        <v>2021</v>
      </c>
      <c r="E1" s="464">
        <f t="shared" si="0"/>
        <v>2022</v>
      </c>
      <c r="F1" s="464">
        <f t="shared" si="0"/>
        <v>2023</v>
      </c>
      <c r="G1" s="464">
        <f t="shared" si="0"/>
        <v>2024</v>
      </c>
      <c r="H1" s="464">
        <f t="shared" si="0"/>
        <v>2025</v>
      </c>
    </row>
    <row r="2" spans="1:13" ht="13.5" thickBot="1" x14ac:dyDescent="0.35">
      <c r="A2" s="73" t="s">
        <v>31</v>
      </c>
      <c r="B2" s="357">
        <f>[1]Effectifs!$H$10</f>
        <v>1900888</v>
      </c>
      <c r="C2" s="469">
        <f>[1]Effectifs!$J$10</f>
        <v>1914251</v>
      </c>
      <c r="D2" s="469">
        <f>[1]Effectifs!$L$10</f>
        <v>1927652</v>
      </c>
      <c r="E2" s="469">
        <f>[1]Effectifs!$N$10</f>
        <v>1935362</v>
      </c>
      <c r="F2" s="469">
        <f>[1]Effectifs!$P$10</f>
        <v>1939234</v>
      </c>
      <c r="G2" s="469">
        <f>[1]Effectifs!$R$10</f>
        <v>1941173</v>
      </c>
      <c r="H2" s="469">
        <f>[1]Effectifs!$T$10</f>
        <v>1942143</v>
      </c>
      <c r="I2" s="164" t="s">
        <v>111</v>
      </c>
      <c r="J2" s="164"/>
      <c r="K2" s="164"/>
      <c r="L2" s="164"/>
      <c r="M2" s="164"/>
    </row>
    <row r="3" spans="1:13" ht="21.5" thickBot="1" x14ac:dyDescent="0.35">
      <c r="A3" s="74" t="s">
        <v>113</v>
      </c>
      <c r="B3" s="460">
        <f>'[2]Famille SA - 1'!$B$15</f>
        <v>157729</v>
      </c>
      <c r="C3" s="470">
        <f>'[2]Famille SA - 1'!$C$15</f>
        <v>154451</v>
      </c>
      <c r="D3" s="470">
        <f>'[2]Famille SA - 1'!$D$15</f>
        <v>152792</v>
      </c>
      <c r="E3" s="470">
        <f>'[2]Famille SA - 1'!$E$15</f>
        <v>150384</v>
      </c>
      <c r="F3" s="470">
        <f>'[2]Famille SA - 1'!$F$15</f>
        <v>148391</v>
      </c>
      <c r="G3" s="470">
        <f>'[2]Famille SA - 1'!$G$15</f>
        <v>146238</v>
      </c>
      <c r="H3" s="470">
        <f>'[2]Famille SA - 1'!$H$15</f>
        <v>144208</v>
      </c>
      <c r="I3" s="164" t="s">
        <v>112</v>
      </c>
      <c r="J3" s="164"/>
      <c r="K3" s="164"/>
      <c r="L3" s="164"/>
      <c r="M3" s="164"/>
    </row>
    <row r="4" spans="1:13" ht="13.5" thickBot="1" x14ac:dyDescent="0.35">
      <c r="A4" s="198" t="s">
        <v>155</v>
      </c>
      <c r="B4" s="358">
        <f>[1]Effectifs!$H$16</f>
        <v>2442126</v>
      </c>
      <c r="C4" s="471">
        <f>[1]Effectifs!$J$16</f>
        <v>2396379</v>
      </c>
      <c r="D4" s="471">
        <f>[1]Effectifs!$L$16</f>
        <v>2351319</v>
      </c>
      <c r="E4" s="471">
        <f>[1]Effectifs!$N$16</f>
        <v>2307498</v>
      </c>
      <c r="F4" s="471">
        <f>[1]Effectifs!$P$16</f>
        <v>2265106</v>
      </c>
      <c r="G4" s="471">
        <f>[1]Effectifs!$R$16</f>
        <v>2224245</v>
      </c>
      <c r="H4" s="471">
        <f>[1]Effectifs!$T$16</f>
        <v>2185021</v>
      </c>
      <c r="I4" s="164"/>
      <c r="J4" s="164"/>
      <c r="K4" s="164"/>
      <c r="L4" s="164"/>
      <c r="M4" s="164"/>
    </row>
    <row r="5" spans="1:13" ht="13" thickBot="1" x14ac:dyDescent="0.3">
      <c r="A5" s="461" t="s">
        <v>96</v>
      </c>
      <c r="B5" s="462">
        <f>[1]Effectifs!$H$20</f>
        <v>29804</v>
      </c>
      <c r="C5" s="469">
        <f>[1]Effectifs!$J$20</f>
        <v>29784</v>
      </c>
      <c r="D5" s="469">
        <f>[1]Effectifs!$L$20</f>
        <v>29910.364653457746</v>
      </c>
      <c r="E5" s="469">
        <f>[1]Effectifs!$N$20</f>
        <v>30136.215087452707</v>
      </c>
      <c r="F5" s="469">
        <f>[1]Effectifs!$P$20</f>
        <v>30455.496412985245</v>
      </c>
      <c r="G5" s="469">
        <f>[1]Effectifs!$R$20</f>
        <v>30872.331828135739</v>
      </c>
      <c r="H5" s="469">
        <f>[1]Effectifs!$T$20</f>
        <v>31368.092510070175</v>
      </c>
    </row>
    <row r="6" spans="1:13" ht="13" thickBot="1" x14ac:dyDescent="0.3">
      <c r="A6" s="178" t="s">
        <v>124</v>
      </c>
      <c r="B6" s="357">
        <f>[1]Effectifs!$H$22</f>
        <v>702791.35812315706</v>
      </c>
      <c r="C6" s="469">
        <f>[1]Effectifs!$J$22</f>
        <v>685102.42205866345</v>
      </c>
      <c r="D6" s="469">
        <f>[1]Effectifs!$L$22</f>
        <v>689071.84831403068</v>
      </c>
      <c r="E6" s="469">
        <f>[1]Effectifs!$N$22</f>
        <v>699790.45158869599</v>
      </c>
      <c r="F6" s="469">
        <f>[1]Effectifs!$P$22</f>
        <v>707903.66761921288</v>
      </c>
      <c r="G6" s="469">
        <f>[1]Effectifs!$R$22</f>
        <v>715032.43268589384</v>
      </c>
      <c r="H6" s="469">
        <f>[1]Effectifs!$T$22</f>
        <v>721861.04149764508</v>
      </c>
    </row>
    <row r="7" spans="1:13" x14ac:dyDescent="0.25">
      <c r="C7" s="171"/>
      <c r="D7" s="171"/>
      <c r="H7" s="171"/>
    </row>
    <row r="8" spans="1:13" ht="13" thickBot="1" x14ac:dyDescent="0.3"/>
    <row r="9" spans="1:13" x14ac:dyDescent="0.25">
      <c r="A9" s="557"/>
      <c r="B9" s="559" t="s">
        <v>1</v>
      </c>
      <c r="C9" s="560"/>
      <c r="D9" s="560"/>
      <c r="E9" s="560"/>
      <c r="F9" s="560"/>
      <c r="G9" s="560"/>
      <c r="H9" s="560"/>
    </row>
    <row r="10" spans="1:13" ht="35" thickBot="1" x14ac:dyDescent="0.3">
      <c r="A10" s="558"/>
      <c r="B10" s="465" t="s">
        <v>114</v>
      </c>
      <c r="C10" s="465" t="s">
        <v>125</v>
      </c>
      <c r="D10" s="465" t="s">
        <v>154</v>
      </c>
      <c r="E10" s="465" t="s">
        <v>159</v>
      </c>
      <c r="F10" s="465" t="s">
        <v>176</v>
      </c>
      <c r="G10" s="465" t="s">
        <v>222</v>
      </c>
      <c r="H10" s="465" t="s">
        <v>104</v>
      </c>
      <c r="I10" s="172" t="s">
        <v>116</v>
      </c>
    </row>
    <row r="11" spans="1:13" ht="13" thickBot="1" x14ac:dyDescent="0.3">
      <c r="A11" s="73" t="s">
        <v>31</v>
      </c>
      <c r="B11" s="466">
        <f>C2/B2-1</f>
        <v>7.0298723543944508E-3</v>
      </c>
      <c r="C11" s="466">
        <f t="shared" ref="B11:G13" si="1">D2/C2-1</f>
        <v>7.0006493401335579E-3</v>
      </c>
      <c r="D11" s="466">
        <f t="shared" si="1"/>
        <v>3.9996845903720324E-3</v>
      </c>
      <c r="E11" s="466">
        <f t="shared" si="1"/>
        <v>2.000659308181163E-3</v>
      </c>
      <c r="F11" s="466">
        <f>G2/F2-1</f>
        <v>9.9987933379885874E-4</v>
      </c>
      <c r="G11" s="466">
        <f>H2/G2-1</f>
        <v>4.9969786309622677E-4</v>
      </c>
      <c r="H11" s="467">
        <f>((H2/C2)^(1/5))-1</f>
        <v>2.8973049338547607E-3</v>
      </c>
      <c r="I11" s="172" t="s">
        <v>117</v>
      </c>
    </row>
    <row r="12" spans="1:13" ht="21" thickBot="1" x14ac:dyDescent="0.3">
      <c r="A12" s="74" t="str">
        <f>A3</f>
        <v>Familles bénéficiaires de prestations familiales dans l'année</v>
      </c>
      <c r="B12" s="466">
        <f t="shared" si="1"/>
        <v>-2.0782481344584713E-2</v>
      </c>
      <c r="C12" s="466">
        <f t="shared" si="1"/>
        <v>-1.0741270694265448E-2</v>
      </c>
      <c r="D12" s="466">
        <f t="shared" si="1"/>
        <v>-1.575998743389706E-2</v>
      </c>
      <c r="E12" s="466">
        <f t="shared" si="1"/>
        <v>-1.3252739653154544E-2</v>
      </c>
      <c r="F12" s="466">
        <f t="shared" si="1"/>
        <v>-1.4508966177193994E-2</v>
      </c>
      <c r="G12" s="466">
        <f t="shared" si="1"/>
        <v>-1.3881480873644381E-2</v>
      </c>
      <c r="H12" s="467">
        <f>((H3/C3)^(1/5))-1</f>
        <v>-1.3630293152625983E-2</v>
      </c>
      <c r="I12" s="172" t="s">
        <v>118</v>
      </c>
    </row>
    <row r="13" spans="1:13" ht="13" thickBot="1" x14ac:dyDescent="0.3">
      <c r="A13" s="199" t="str">
        <f>A4</f>
        <v>Bénéficiaires de pensions vieillesse</v>
      </c>
      <c r="B13" s="468">
        <f t="shared" si="1"/>
        <v>-1.8732448694293469E-2</v>
      </c>
      <c r="C13" s="468">
        <f t="shared" si="1"/>
        <v>-1.8803369583859642E-2</v>
      </c>
      <c r="D13" s="468">
        <f t="shared" si="1"/>
        <v>-1.8636773657678907E-2</v>
      </c>
      <c r="E13" s="468">
        <f t="shared" si="1"/>
        <v>-1.8371413539686743E-2</v>
      </c>
      <c r="F13" s="468">
        <f t="shared" si="1"/>
        <v>-1.8039332375615058E-2</v>
      </c>
      <c r="G13" s="468">
        <f t="shared" si="1"/>
        <v>-1.763474797065967E-2</v>
      </c>
      <c r="H13" s="467">
        <f>((H4/C4)^(1/5))-1</f>
        <v>-1.8297217296893042E-2</v>
      </c>
      <c r="I13" s="172" t="s">
        <v>119</v>
      </c>
    </row>
    <row r="14" spans="1:13" ht="13" thickBot="1" x14ac:dyDescent="0.3">
      <c r="A14" s="243" t="str">
        <f>A5</f>
        <v>Bénéficiaires de pensions d'invalidité</v>
      </c>
      <c r="B14" s="244">
        <f t="shared" ref="B14:G14" si="2">C5/B5-1</f>
        <v>-6.7105086565566463E-4</v>
      </c>
      <c r="C14" s="244">
        <f t="shared" si="2"/>
        <v>4.2427025737894475E-3</v>
      </c>
      <c r="D14" s="244">
        <f t="shared" si="2"/>
        <v>7.550908743897633E-3</v>
      </c>
      <c r="E14" s="244">
        <f t="shared" si="2"/>
        <v>1.0594606011604668E-2</v>
      </c>
      <c r="F14" s="244">
        <f t="shared" si="2"/>
        <v>1.3686705660550968E-2</v>
      </c>
      <c r="G14" s="244">
        <f t="shared" si="2"/>
        <v>1.6058413879920241E-2</v>
      </c>
      <c r="H14" s="245">
        <f>((H5/C5)^(1/5))-1</f>
        <v>1.0417867532160008E-2</v>
      </c>
    </row>
    <row r="15" spans="1:13" ht="13" thickBot="1" x14ac:dyDescent="0.3">
      <c r="A15" s="179" t="str">
        <f>A6</f>
        <v>Actifs cotisants vieillesse au 1er juillet</v>
      </c>
      <c r="B15" s="466">
        <f t="shared" ref="B15:G15" si="3">C6/B6-1</f>
        <v>-2.5169541230178005E-2</v>
      </c>
      <c r="C15" s="466">
        <f>D6/C6-1</f>
        <v>5.7939165408866788E-3</v>
      </c>
      <c r="D15" s="466">
        <f t="shared" si="3"/>
        <v>1.5555131588804283E-2</v>
      </c>
      <c r="E15" s="466">
        <f t="shared" si="3"/>
        <v>1.1593779269348348E-2</v>
      </c>
      <c r="F15" s="466">
        <f t="shared" si="3"/>
        <v>1.0070247397722998E-2</v>
      </c>
      <c r="G15" s="466">
        <f t="shared" si="3"/>
        <v>9.5500686396849943E-3</v>
      </c>
      <c r="H15" s="467">
        <f>((H6/C6)^(1/5))-1</f>
        <v>1.050768375469735E-2</v>
      </c>
    </row>
    <row r="16" spans="1:13" x14ac:dyDescent="0.25">
      <c r="A16" s="489" t="s">
        <v>24</v>
      </c>
    </row>
    <row r="18" spans="1:8" x14ac:dyDescent="0.25">
      <c r="H18" s="190"/>
    </row>
    <row r="19" spans="1:8" ht="13" thickBot="1" x14ac:dyDescent="0.3"/>
    <row r="20" spans="1:8" ht="13" thickBot="1" x14ac:dyDescent="0.3">
      <c r="A20" s="356" t="s">
        <v>217</v>
      </c>
      <c r="B20" s="356" t="s">
        <v>218</v>
      </c>
    </row>
    <row r="21" spans="1:8" ht="13" thickBot="1" x14ac:dyDescent="0.3">
      <c r="A21" s="507" t="s">
        <v>24</v>
      </c>
      <c r="B21" s="508" t="s">
        <v>213</v>
      </c>
    </row>
    <row r="22" spans="1:8" ht="13" thickBot="1" x14ac:dyDescent="0.3">
      <c r="A22" s="505" t="s">
        <v>25</v>
      </c>
      <c r="B22" s="508" t="s">
        <v>214</v>
      </c>
    </row>
    <row r="23" spans="1:8" x14ac:dyDescent="0.25">
      <c r="A23" s="505" t="s">
        <v>219</v>
      </c>
      <c r="B23" s="508" t="s">
        <v>216</v>
      </c>
    </row>
    <row r="24" spans="1:8" x14ac:dyDescent="0.25">
      <c r="A24" s="505" t="s">
        <v>168</v>
      </c>
      <c r="B24" s="506" t="s">
        <v>220</v>
      </c>
    </row>
    <row r="25" spans="1:8" ht="13" thickBot="1" x14ac:dyDescent="0.3">
      <c r="A25" s="505" t="s">
        <v>178</v>
      </c>
      <c r="B25" s="506" t="s">
        <v>251</v>
      </c>
    </row>
    <row r="26" spans="1:8" x14ac:dyDescent="0.25">
      <c r="A26" s="507" t="s">
        <v>180</v>
      </c>
      <c r="B26" s="508" t="s">
        <v>220</v>
      </c>
    </row>
    <row r="27" spans="1:8" x14ac:dyDescent="0.25">
      <c r="A27" s="505" t="s">
        <v>166</v>
      </c>
      <c r="B27" s="506" t="s">
        <v>214</v>
      </c>
    </row>
    <row r="28" spans="1:8" x14ac:dyDescent="0.25">
      <c r="A28" s="505" t="s">
        <v>167</v>
      </c>
      <c r="B28" s="506" t="s">
        <v>215</v>
      </c>
    </row>
    <row r="29" spans="1:8" x14ac:dyDescent="0.25">
      <c r="A29" s="505" t="s">
        <v>169</v>
      </c>
      <c r="B29" s="506" t="s">
        <v>216</v>
      </c>
    </row>
    <row r="30" spans="1:8" x14ac:dyDescent="0.25">
      <c r="A30" s="505" t="s">
        <v>170</v>
      </c>
      <c r="B30" s="506" t="s">
        <v>220</v>
      </c>
    </row>
    <row r="31" spans="1:8" x14ac:dyDescent="0.25">
      <c r="A31" s="505" t="s">
        <v>172</v>
      </c>
      <c r="B31" s="506" t="str">
        <f>B28</f>
        <v>CHARGES_PRODUITS</v>
      </c>
    </row>
    <row r="32" spans="1:8" x14ac:dyDescent="0.25">
      <c r="A32" s="505" t="s">
        <v>173</v>
      </c>
      <c r="B32" s="506" t="str">
        <f>B31</f>
        <v>CHARGES_PRODUITS</v>
      </c>
    </row>
    <row r="33" spans="1:2" x14ac:dyDescent="0.25">
      <c r="A33" s="505" t="s">
        <v>174</v>
      </c>
      <c r="B33" s="506" t="s">
        <v>221</v>
      </c>
    </row>
  </sheetData>
  <mergeCells count="2">
    <mergeCell ref="A9:A10"/>
    <mergeCell ref="B9:H9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R62"/>
  <sheetViews>
    <sheetView zoomScale="80" zoomScaleNormal="80" zoomScaleSheetLayoutView="90" workbookViewId="0"/>
  </sheetViews>
  <sheetFormatPr baseColWidth="10" defaultRowHeight="12.5" x14ac:dyDescent="0.25"/>
  <cols>
    <col min="2" max="2" width="26.1796875" customWidth="1"/>
    <col min="3" max="3" width="12.54296875" bestFit="1" customWidth="1"/>
    <col min="4" max="4" width="12.453125" bestFit="1" customWidth="1"/>
    <col min="5" max="5" width="13" bestFit="1" customWidth="1"/>
    <col min="6" max="9" width="12.453125" bestFit="1" customWidth="1"/>
    <col min="10" max="10" width="11.453125" style="165"/>
    <col min="11" max="11" width="27" bestFit="1" customWidth="1"/>
    <col min="12" max="13" width="12.453125" bestFit="1" customWidth="1"/>
  </cols>
  <sheetData>
    <row r="1" spans="1:18" ht="13" x14ac:dyDescent="0.3">
      <c r="B1" s="200"/>
    </row>
    <row r="3" spans="1:18" ht="14" x14ac:dyDescent="0.25">
      <c r="A3" s="562" t="s">
        <v>32</v>
      </c>
      <c r="B3" s="563"/>
      <c r="C3" s="30" t="s">
        <v>23</v>
      </c>
      <c r="D3" s="30" t="s">
        <v>23</v>
      </c>
      <c r="E3" s="564" t="s">
        <v>1</v>
      </c>
      <c r="F3" s="565"/>
      <c r="G3" s="565"/>
      <c r="H3" s="565"/>
      <c r="I3" s="566"/>
      <c r="K3" s="117"/>
      <c r="L3" s="161" t="s">
        <v>23</v>
      </c>
      <c r="M3" s="161" t="s">
        <v>23</v>
      </c>
      <c r="N3" s="561" t="s">
        <v>1</v>
      </c>
      <c r="O3" s="561"/>
      <c r="P3" s="561"/>
      <c r="Q3" s="561"/>
      <c r="R3" s="561"/>
    </row>
    <row r="4" spans="1:18" ht="14" x14ac:dyDescent="0.25">
      <c r="A4" s="32"/>
      <c r="B4" s="39" t="s">
        <v>2</v>
      </c>
      <c r="C4" s="35">
        <v>2019</v>
      </c>
      <c r="D4" s="34">
        <f>C4+1</f>
        <v>2020</v>
      </c>
      <c r="E4" s="34" t="s">
        <v>134</v>
      </c>
      <c r="F4" s="34" t="s">
        <v>157</v>
      </c>
      <c r="G4" s="34" t="s">
        <v>160</v>
      </c>
      <c r="H4" s="34" t="s">
        <v>175</v>
      </c>
      <c r="I4" s="34" t="s">
        <v>223</v>
      </c>
      <c r="K4" s="117"/>
      <c r="L4" s="161">
        <f>C4</f>
        <v>2019</v>
      </c>
      <c r="M4" s="161">
        <f t="shared" ref="M4:R4" si="0">L4+1</f>
        <v>2020</v>
      </c>
      <c r="N4" s="161">
        <f t="shared" si="0"/>
        <v>2021</v>
      </c>
      <c r="O4" s="161">
        <f t="shared" si="0"/>
        <v>2022</v>
      </c>
      <c r="P4" s="161">
        <f t="shared" si="0"/>
        <v>2023</v>
      </c>
      <c r="Q4" s="161">
        <f t="shared" si="0"/>
        <v>2024</v>
      </c>
      <c r="R4" s="161">
        <f t="shared" si="0"/>
        <v>2025</v>
      </c>
    </row>
    <row r="5" spans="1:18" x14ac:dyDescent="0.25">
      <c r="A5" s="7"/>
      <c r="B5" s="8" t="s">
        <v>3</v>
      </c>
      <c r="C5" s="54">
        <f>[3]Maladie!$H$6</f>
        <v>6324.7866769600014</v>
      </c>
      <c r="D5" s="54">
        <f>[3]Maladie!$I$6</f>
        <v>6860.9779221400004</v>
      </c>
      <c r="E5" s="232">
        <f>[3]Maladie!$R$6</f>
        <v>5655.4888443600257</v>
      </c>
      <c r="F5" s="233">
        <f>[3]Maladie!$W$6</f>
        <v>5397.4989718080587</v>
      </c>
      <c r="G5" s="233">
        <f>[3]Maladie!$AB$6</f>
        <v>5475.0277626041907</v>
      </c>
      <c r="H5" s="233">
        <f>[3]Maladie!$AG$6</f>
        <v>5583.7824879056579</v>
      </c>
      <c r="I5" s="233">
        <f>[3]Maladie!$AL$6</f>
        <v>5699.9184663810029</v>
      </c>
      <c r="K5" s="46" t="s">
        <v>106</v>
      </c>
      <c r="L5" s="378">
        <f t="shared" ref="L5:R5" si="1">C10-C5</f>
        <v>0</v>
      </c>
      <c r="M5" s="378">
        <f t="shared" si="1"/>
        <v>0</v>
      </c>
      <c r="N5" s="378">
        <f t="shared" si="1"/>
        <v>0</v>
      </c>
      <c r="O5" s="378">
        <f t="shared" si="1"/>
        <v>0</v>
      </c>
      <c r="P5" s="378">
        <f t="shared" si="1"/>
        <v>0</v>
      </c>
      <c r="Q5" s="378">
        <f t="shared" si="1"/>
        <v>0</v>
      </c>
      <c r="R5" s="378">
        <f t="shared" si="1"/>
        <v>0</v>
      </c>
    </row>
    <row r="6" spans="1:18" x14ac:dyDescent="0.25">
      <c r="A6" s="12"/>
      <c r="B6" s="13" t="s">
        <v>33</v>
      </c>
      <c r="C6" s="234">
        <f>[3]AT!$H$6</f>
        <v>735.46909385999993</v>
      </c>
      <c r="D6" s="234">
        <f>[3]AT!$I$6</f>
        <v>702.02691303999995</v>
      </c>
      <c r="E6" s="234">
        <f>[3]AT!$R$6</f>
        <v>722.91168203766256</v>
      </c>
      <c r="F6" s="234">
        <f>[3]AT!$W$6</f>
        <v>732.0574260633972</v>
      </c>
      <c r="G6" s="234">
        <f>[3]AT!$AB$6</f>
        <v>742.99740169465338</v>
      </c>
      <c r="H6" s="234">
        <f>[3]AT!$AG$6</f>
        <v>752.17253882048078</v>
      </c>
      <c r="I6" s="234">
        <f>[3]AT!$AL$6</f>
        <v>761.50555599958659</v>
      </c>
      <c r="K6" s="46" t="s">
        <v>107</v>
      </c>
      <c r="L6" s="379">
        <f>C11-C6</f>
        <v>32.185490060000006</v>
      </c>
      <c r="M6" s="379">
        <f t="shared" ref="M6:R6" si="2">D11-D6</f>
        <v>51.405355889999896</v>
      </c>
      <c r="N6" s="379">
        <f t="shared" si="2"/>
        <v>27.783540153264312</v>
      </c>
      <c r="O6" s="379">
        <f t="shared" si="2"/>
        <v>39.019337560961276</v>
      </c>
      <c r="P6" s="379">
        <f t="shared" si="2"/>
        <v>41.381062501371161</v>
      </c>
      <c r="Q6" s="379">
        <f t="shared" si="2"/>
        <v>43.700916131801137</v>
      </c>
      <c r="R6" s="379">
        <f t="shared" si="2"/>
        <v>46.024589930149091</v>
      </c>
    </row>
    <row r="7" spans="1:18" x14ac:dyDescent="0.25">
      <c r="A7" s="10"/>
      <c r="B7" s="11" t="s">
        <v>5</v>
      </c>
      <c r="C7" s="235">
        <f>[3]Famille!$H$6</f>
        <v>983.68814884999995</v>
      </c>
      <c r="D7" s="235">
        <f>[3]Famille!$I$6</f>
        <v>986.46949825000002</v>
      </c>
      <c r="E7" s="235">
        <f>[3]Famille!$R$6</f>
        <v>966.79086651653483</v>
      </c>
      <c r="F7" s="235">
        <f>[3]Famille!$W$6</f>
        <v>965.58731381041707</v>
      </c>
      <c r="G7" s="235">
        <f>[3]Famille!$AB$6</f>
        <v>961.37202374267565</v>
      </c>
      <c r="H7" s="235">
        <f>[3]Famille!$AG$6</f>
        <v>957.94958651910179</v>
      </c>
      <c r="I7" s="235">
        <f>[3]Famille!$AL$6</f>
        <v>954.67409643490748</v>
      </c>
      <c r="K7" s="46" t="s">
        <v>108</v>
      </c>
      <c r="L7" s="379">
        <f>C12-C7</f>
        <v>0</v>
      </c>
      <c r="M7" s="379">
        <f t="shared" ref="M7:R7" si="3">D12-D7</f>
        <v>0</v>
      </c>
      <c r="N7" s="379">
        <f t="shared" si="3"/>
        <v>0</v>
      </c>
      <c r="O7" s="379">
        <f t="shared" si="3"/>
        <v>0</v>
      </c>
      <c r="P7" s="379">
        <f t="shared" si="3"/>
        <v>0</v>
      </c>
      <c r="Q7" s="379">
        <f t="shared" si="3"/>
        <v>0</v>
      </c>
      <c r="R7" s="379">
        <f t="shared" si="3"/>
        <v>0</v>
      </c>
    </row>
    <row r="8" spans="1:18" x14ac:dyDescent="0.25">
      <c r="A8" s="353"/>
      <c r="B8" s="354" t="s">
        <v>4</v>
      </c>
      <c r="C8" s="355">
        <f>[3]Vieillesse!$H$6</f>
        <v>6740.081936550001</v>
      </c>
      <c r="D8" s="355">
        <f>[3]Vieillesse!$I$6</f>
        <v>6704.1865379800029</v>
      </c>
      <c r="E8" s="355">
        <f>[3]Vieillesse!$R$6</f>
        <v>6725.8020161372497</v>
      </c>
      <c r="F8" s="355">
        <f>[3]Vieillesse!$W$6</f>
        <v>6828.5599653849795</v>
      </c>
      <c r="G8" s="355">
        <f>[3]Vieillesse!$AB$6</f>
        <v>7018.1114655208958</v>
      </c>
      <c r="H8" s="355">
        <f>[3]Vieillesse!$AG$6</f>
        <v>7256.838267839109</v>
      </c>
      <c r="I8" s="355">
        <f>[3]Vieillesse!$AL$6</f>
        <v>7510.8245790530164</v>
      </c>
      <c r="K8" s="46" t="s">
        <v>109</v>
      </c>
      <c r="L8" s="380">
        <f>C13-C8</f>
        <v>0</v>
      </c>
      <c r="M8" s="380">
        <f t="shared" ref="M8:R8" si="4">D13-D8</f>
        <v>0</v>
      </c>
      <c r="N8" s="380">
        <f>E13-E8</f>
        <v>0</v>
      </c>
      <c r="O8" s="380">
        <f>F13-F8</f>
        <v>0</v>
      </c>
      <c r="P8" s="380">
        <f t="shared" si="4"/>
        <v>0</v>
      </c>
      <c r="Q8" s="380">
        <f t="shared" si="4"/>
        <v>0</v>
      </c>
      <c r="R8" s="380">
        <f t="shared" si="4"/>
        <v>0</v>
      </c>
    </row>
    <row r="9" spans="1:18" ht="14" x14ac:dyDescent="0.3">
      <c r="A9" s="17" t="s">
        <v>20</v>
      </c>
      <c r="B9" s="18"/>
      <c r="C9" s="59">
        <f t="shared" ref="C9:I9" si="5">SUM(C5:C8)</f>
        <v>14784.025856220003</v>
      </c>
      <c r="D9" s="59">
        <f t="shared" si="5"/>
        <v>15253.660871410004</v>
      </c>
      <c r="E9" s="59">
        <f t="shared" si="5"/>
        <v>14070.993409051473</v>
      </c>
      <c r="F9" s="59">
        <f t="shared" si="5"/>
        <v>13923.703677066853</v>
      </c>
      <c r="G9" s="59">
        <f t="shared" si="5"/>
        <v>14197.508653562416</v>
      </c>
      <c r="H9" s="59">
        <f t="shared" si="5"/>
        <v>14550.742881084348</v>
      </c>
      <c r="I9" s="59">
        <f t="shared" si="5"/>
        <v>14926.922697868513</v>
      </c>
      <c r="L9" s="381">
        <f t="shared" ref="L9:R9" si="6">SUM(L5:L8)</f>
        <v>32.185490060000006</v>
      </c>
      <c r="M9" s="382">
        <f t="shared" si="6"/>
        <v>51.405355889999896</v>
      </c>
      <c r="N9" s="381">
        <f t="shared" si="6"/>
        <v>27.783540153264312</v>
      </c>
      <c r="O9" s="381">
        <f t="shared" si="6"/>
        <v>39.019337560961276</v>
      </c>
      <c r="P9" s="381">
        <f t="shared" si="6"/>
        <v>41.381062501371161</v>
      </c>
      <c r="Q9" s="381">
        <f t="shared" si="6"/>
        <v>43.700916131801137</v>
      </c>
      <c r="R9" s="381">
        <f t="shared" si="6"/>
        <v>46.024589930149091</v>
      </c>
    </row>
    <row r="10" spans="1:18" x14ac:dyDescent="0.25">
      <c r="A10" s="7"/>
      <c r="B10" s="8" t="s">
        <v>7</v>
      </c>
      <c r="C10" s="236">
        <f>[3]Maladie!$H$149</f>
        <v>6324.7866769599996</v>
      </c>
      <c r="D10" s="236">
        <f>[3]Maladie!$I$149</f>
        <v>6860.9779221400004</v>
      </c>
      <c r="E10" s="236">
        <f>[3]Maladie!$R$149</f>
        <v>5655.4888443600275</v>
      </c>
      <c r="F10" s="236">
        <f>[3]Maladie!$W$149</f>
        <v>5397.4989718080597</v>
      </c>
      <c r="G10" s="236">
        <f>[3]Maladie!$AB$149</f>
        <v>5475.0277626041916</v>
      </c>
      <c r="H10" s="236">
        <f>[3]Maladie!$AG$149</f>
        <v>5583.7824879056589</v>
      </c>
      <c r="I10" s="236">
        <f>[3]Maladie!$AL$149</f>
        <v>5699.9184663810038</v>
      </c>
      <c r="J10"/>
    </row>
    <row r="11" spans="1:18" ht="14" x14ac:dyDescent="0.25">
      <c r="A11" s="10"/>
      <c r="B11" s="11" t="s">
        <v>34</v>
      </c>
      <c r="C11" s="237">
        <f>[3]AT!$H$94</f>
        <v>767.65458391999994</v>
      </c>
      <c r="D11" s="237">
        <f>[3]AT!$I$94</f>
        <v>753.43226892999985</v>
      </c>
      <c r="E11" s="237">
        <f>[3]AT!$R$94</f>
        <v>750.69522219092687</v>
      </c>
      <c r="F11" s="237">
        <f>[3]AT!$W$94</f>
        <v>771.07676362435848</v>
      </c>
      <c r="G11" s="237">
        <f>[3]AT!$AB$94</f>
        <v>784.37846419602454</v>
      </c>
      <c r="H11" s="237">
        <f>[3]AT!$AG$94</f>
        <v>795.87345495228192</v>
      </c>
      <c r="I11" s="237">
        <f>[3]AT!$AL$94</f>
        <v>807.53014592973568</v>
      </c>
      <c r="J11"/>
      <c r="K11" s="504" t="s">
        <v>178</v>
      </c>
      <c r="L11" s="522" t="s">
        <v>23</v>
      </c>
      <c r="M11" s="522" t="s">
        <v>23</v>
      </c>
      <c r="N11" s="561" t="s">
        <v>1</v>
      </c>
      <c r="O11" s="561"/>
      <c r="P11" s="561"/>
      <c r="Q11" s="561"/>
      <c r="R11" s="561"/>
    </row>
    <row r="12" spans="1:18" ht="14.5" thickBot="1" x14ac:dyDescent="0.3">
      <c r="A12" s="10"/>
      <c r="B12" s="11" t="s">
        <v>9</v>
      </c>
      <c r="C12" s="237">
        <f>[3]Famille!$H$87</f>
        <v>983.68814884999995</v>
      </c>
      <c r="D12" s="237">
        <f>[3]Famille!$I$87</f>
        <v>986.46949825000002</v>
      </c>
      <c r="E12" s="237">
        <f>[3]Famille!$R$87</f>
        <v>966.79086651653483</v>
      </c>
      <c r="F12" s="237">
        <f>[3]Famille!$W$87</f>
        <v>965.58731381041696</v>
      </c>
      <c r="G12" s="237">
        <f>[3]Famille!$AB$87</f>
        <v>961.37202374267565</v>
      </c>
      <c r="H12" s="237">
        <f>[3]Famille!$AG$87</f>
        <v>957.94958651910167</v>
      </c>
      <c r="I12" s="237">
        <f>[3]Famille!$AL$87</f>
        <v>954.67409643490737</v>
      </c>
      <c r="L12" s="523">
        <f>L4</f>
        <v>2019</v>
      </c>
      <c r="M12" s="523">
        <f t="shared" ref="M12" si="7">L12+1</f>
        <v>2020</v>
      </c>
      <c r="N12" s="523">
        <f t="shared" ref="N12" si="8">M12+1</f>
        <v>2021</v>
      </c>
      <c r="O12" s="523">
        <f t="shared" ref="O12" si="9">N12+1</f>
        <v>2022</v>
      </c>
      <c r="P12" s="523">
        <f t="shared" ref="P12" si="10">O12+1</f>
        <v>2023</v>
      </c>
      <c r="Q12" s="523">
        <f t="shared" ref="Q12" si="11">P12+1</f>
        <v>2024</v>
      </c>
      <c r="R12" s="523">
        <f t="shared" ref="R12" si="12">Q12+1</f>
        <v>2025</v>
      </c>
    </row>
    <row r="13" spans="1:18" s="223" customFormat="1" x14ac:dyDescent="0.25">
      <c r="A13" s="246"/>
      <c r="B13" s="351" t="s">
        <v>8</v>
      </c>
      <c r="C13" s="352">
        <f>[3]Vieillesse!$H$102</f>
        <v>6740.081936550001</v>
      </c>
      <c r="D13" s="352">
        <f>[3]Vieillesse!$I$102</f>
        <v>6704.186537980001</v>
      </c>
      <c r="E13" s="352">
        <f>[3]Vieillesse!$R$102</f>
        <v>6725.8020161372506</v>
      </c>
      <c r="F13" s="352">
        <f>[3]Vieillesse!$W$102</f>
        <v>6828.5599653849804</v>
      </c>
      <c r="G13" s="352">
        <f>[3]Vieillesse!$AB$102</f>
        <v>7018.1114655208958</v>
      </c>
      <c r="H13" s="352">
        <f>[3]Vieillesse!$AG$102</f>
        <v>7256.838267839109</v>
      </c>
      <c r="I13" s="352">
        <f>[3]Vieillesse!$AL$102</f>
        <v>7510.8245790530173</v>
      </c>
      <c r="K13" s="524" t="s">
        <v>247</v>
      </c>
      <c r="L13" s="525">
        <f>[3]Maladie!$H$251</f>
        <v>2049.2379871600001</v>
      </c>
      <c r="M13" s="527">
        <f>[3]Maladie!$I$251</f>
        <v>2672.4198642800002</v>
      </c>
      <c r="N13" s="528">
        <f>[3]Maladie!$R$251</f>
        <v>2618.096156450978</v>
      </c>
      <c r="O13" s="528">
        <f>[3]Maladie!$W$251</f>
        <v>2253.0437059447399</v>
      </c>
      <c r="P13" s="528">
        <f>[3]Maladie!$AB$251</f>
        <v>2335.4422738254366</v>
      </c>
      <c r="Q13" s="528">
        <f>[3]Maladie!$AG$251</f>
        <v>2361.0097034397477</v>
      </c>
      <c r="R13" s="529">
        <f>[3]Maladie!$AL$251</f>
        <v>2402.1664630491841</v>
      </c>
    </row>
    <row r="14" spans="1:18" ht="14" x14ac:dyDescent="0.25">
      <c r="A14" s="17" t="s">
        <v>238</v>
      </c>
      <c r="B14" s="18"/>
      <c r="C14" s="22">
        <f t="shared" ref="C14:I14" si="13">SUM(C10:C13)</f>
        <v>14816.211346280001</v>
      </c>
      <c r="D14" s="22">
        <f t="shared" si="13"/>
        <v>15305.066227300002</v>
      </c>
      <c r="E14" s="22">
        <f t="shared" si="13"/>
        <v>14098.776949204741</v>
      </c>
      <c r="F14" s="22">
        <f t="shared" si="13"/>
        <v>13962.723014627816</v>
      </c>
      <c r="G14" s="22">
        <f t="shared" si="13"/>
        <v>14238.889716063788</v>
      </c>
      <c r="H14" s="22">
        <f t="shared" si="13"/>
        <v>14594.44379721615</v>
      </c>
      <c r="I14" s="22">
        <f t="shared" si="13"/>
        <v>14972.947287798665</v>
      </c>
      <c r="K14" s="524" t="s">
        <v>248</v>
      </c>
      <c r="L14" s="526">
        <f>-[3]Vieillesse!$H$54</f>
        <v>-412.52297499000002</v>
      </c>
      <c r="M14" s="530">
        <f>-[3]Vieillesse!$I$54</f>
        <v>-248.57770237</v>
      </c>
      <c r="N14" s="531">
        <f>-[3]Vieillesse!$R$54</f>
        <v>-156.57905949060972</v>
      </c>
      <c r="O14" s="531">
        <f>-[3]Vieillesse!$W$54</f>
        <v>-49.967225054257369</v>
      </c>
      <c r="P14" s="531">
        <f>[3]Vieillesse!$AB$208</f>
        <v>287.99177138679238</v>
      </c>
      <c r="Q14" s="531">
        <f>[3]Vieillesse!$AG$208</f>
        <v>460.61412597787813</v>
      </c>
      <c r="R14" s="532">
        <f>[3]Vieillesse!$AL$208</f>
        <v>653.62964804868773</v>
      </c>
    </row>
    <row r="15" spans="1:18" ht="14" x14ac:dyDescent="0.3">
      <c r="A15" s="567" t="s">
        <v>11</v>
      </c>
      <c r="B15" s="568"/>
      <c r="C15" s="23">
        <f t="shared" ref="C15:I15" si="14">C14-C9</f>
        <v>32.185490059997392</v>
      </c>
      <c r="D15" s="23">
        <f t="shared" si="14"/>
        <v>51.405355889997736</v>
      </c>
      <c r="E15" s="23">
        <f t="shared" si="14"/>
        <v>27.783540153268405</v>
      </c>
      <c r="F15" s="23">
        <f t="shared" si="14"/>
        <v>39.019337560963322</v>
      </c>
      <c r="G15" s="23">
        <f t="shared" si="14"/>
        <v>41.381062501372071</v>
      </c>
      <c r="H15" s="23">
        <f t="shared" si="14"/>
        <v>43.700916131801932</v>
      </c>
      <c r="I15" s="23">
        <f t="shared" si="14"/>
        <v>46.024589930151706</v>
      </c>
      <c r="J15" s="166"/>
      <c r="K15" s="524" t="s">
        <v>249</v>
      </c>
      <c r="L15" s="526">
        <f>[3]Famille!$H$171</f>
        <v>178.73434868999999</v>
      </c>
      <c r="M15" s="530">
        <f>[3]Famille!$I$171</f>
        <v>193.54892878000001</v>
      </c>
      <c r="N15" s="531">
        <f>[3]Famille!$R$171</f>
        <v>181.64469613303035</v>
      </c>
      <c r="O15" s="531">
        <f>[3]Famille!$W$171</f>
        <v>139.56898527171535</v>
      </c>
      <c r="P15" s="531">
        <f>[3]Famille!$AB$171</f>
        <v>168.85283261887326</v>
      </c>
      <c r="Q15" s="531">
        <f>[3]Famille!$AG$171</f>
        <v>146.24819423001372</v>
      </c>
      <c r="R15" s="532">
        <f>[3]Famille!$AL$171</f>
        <v>125.58120604627311</v>
      </c>
    </row>
    <row r="16" spans="1:18" ht="13" thickBot="1" x14ac:dyDescent="0.3">
      <c r="C16" s="123">
        <f t="shared" ref="C16:I16" si="15">C13-C8</f>
        <v>0</v>
      </c>
      <c r="D16" s="123">
        <f t="shared" si="15"/>
        <v>0</v>
      </c>
      <c r="E16" s="123">
        <f t="shared" si="15"/>
        <v>0</v>
      </c>
      <c r="F16" s="123">
        <f t="shared" si="15"/>
        <v>0</v>
      </c>
      <c r="G16" s="123">
        <f t="shared" si="15"/>
        <v>0</v>
      </c>
      <c r="H16" s="123">
        <f t="shared" si="15"/>
        <v>0</v>
      </c>
      <c r="I16" s="123">
        <f t="shared" si="15"/>
        <v>0</v>
      </c>
      <c r="K16" s="524" t="s">
        <v>250</v>
      </c>
      <c r="L16" s="526">
        <f>SUM(L13:L15)</f>
        <v>1815.4493608600001</v>
      </c>
      <c r="M16" s="533">
        <f t="shared" ref="M16:R16" si="16">SUM(M13:M15)</f>
        <v>2617.3910906900001</v>
      </c>
      <c r="N16" s="534">
        <f t="shared" si="16"/>
        <v>2643.1617930933985</v>
      </c>
      <c r="O16" s="534">
        <f t="shared" si="16"/>
        <v>2342.6454661621979</v>
      </c>
      <c r="P16" s="534">
        <f t="shared" si="16"/>
        <v>2792.2868778311022</v>
      </c>
      <c r="Q16" s="534">
        <f t="shared" si="16"/>
        <v>2967.8720236476397</v>
      </c>
      <c r="R16" s="535">
        <f t="shared" si="16"/>
        <v>3181.3773171441449</v>
      </c>
    </row>
    <row r="17" spans="1:9" ht="13" x14ac:dyDescent="0.25">
      <c r="A17" s="246"/>
      <c r="B17" s="475" t="s">
        <v>239</v>
      </c>
      <c r="C17" s="476">
        <f>[3]Maladie!$H$251</f>
        <v>2049.2379871600001</v>
      </c>
      <c r="D17" s="476">
        <f>[3]Maladie!$I$251</f>
        <v>2672.4198642800002</v>
      </c>
      <c r="E17" s="476">
        <f>[3]Maladie!$R$251</f>
        <v>2618.096156450978</v>
      </c>
      <c r="F17" s="476">
        <f>[3]Maladie!$W$251</f>
        <v>2253.0437059447399</v>
      </c>
      <c r="G17" s="476">
        <f>[3]Maladie!$AB$251</f>
        <v>2335.4422738254366</v>
      </c>
      <c r="H17" s="476">
        <f>[3]Maladie!$AG$251</f>
        <v>2361.0097034397477</v>
      </c>
      <c r="I17" s="476">
        <f>[3]Maladie!$AL$251</f>
        <v>2402.1664630491841</v>
      </c>
    </row>
    <row r="18" spans="1:9" ht="13" x14ac:dyDescent="0.25">
      <c r="A18" s="477"/>
      <c r="B18" s="475"/>
      <c r="C18" s="479">
        <f>C10-'[4]TableauxNote ok'!$C$10</f>
        <v>2049.2379871599996</v>
      </c>
      <c r="D18" s="479">
        <f>D10-'[4]TableauxNote ok'!$D$10</f>
        <v>2672.4198642800002</v>
      </c>
      <c r="E18" s="479">
        <f>E10-'[4]TableauxNote ok'!$E$10</f>
        <v>2618.096156450978</v>
      </c>
      <c r="F18" s="479">
        <f>F10-'[4]TableauxNote ok'!$F$10</f>
        <v>2253.0437059447399</v>
      </c>
      <c r="G18" s="479">
        <f>G10-'[4]TableauxNote ok'!$G$10</f>
        <v>2335.4422738254366</v>
      </c>
      <c r="H18" s="479">
        <f>H10-'[4]TableauxNote ok'!$H$10</f>
        <v>2361.0097034397477</v>
      </c>
      <c r="I18" s="479">
        <f>I10-'[4]TableauxNote ok'!$I$10</f>
        <v>2402.1664630491841</v>
      </c>
    </row>
    <row r="19" spans="1:9" ht="13" x14ac:dyDescent="0.25">
      <c r="A19" s="477"/>
      <c r="B19" s="478"/>
      <c r="C19" s="479"/>
      <c r="D19" s="479"/>
      <c r="E19" s="482">
        <f>(E18/D18)-1</f>
        <v>-2.0327534814091774E-2</v>
      </c>
      <c r="F19" s="482">
        <f>((I18/D18)^(1/5)-1)</f>
        <v>-2.1096950033145156E-2</v>
      </c>
      <c r="G19" s="480">
        <f>(E18/E14)*E19*100</f>
        <v>-0.37747558500029343</v>
      </c>
      <c r="H19" s="480"/>
      <c r="I19" s="481"/>
    </row>
    <row r="20" spans="1:9" ht="14" x14ac:dyDescent="0.3">
      <c r="A20" s="562" t="s">
        <v>37</v>
      </c>
      <c r="B20" s="563"/>
      <c r="C20" s="36" t="s">
        <v>23</v>
      </c>
      <c r="D20" s="570" t="s">
        <v>1</v>
      </c>
      <c r="E20" s="571"/>
      <c r="F20" s="571"/>
      <c r="G20" s="571"/>
      <c r="H20" s="572"/>
    </row>
    <row r="21" spans="1:9" ht="14" x14ac:dyDescent="0.3">
      <c r="A21" s="32"/>
      <c r="B21" s="33" t="s">
        <v>0</v>
      </c>
      <c r="C21" s="37" t="s">
        <v>114</v>
      </c>
      <c r="D21" s="37" t="s">
        <v>125</v>
      </c>
      <c r="E21" s="37" t="s">
        <v>154</v>
      </c>
      <c r="F21" s="37" t="s">
        <v>159</v>
      </c>
      <c r="G21" s="37" t="s">
        <v>176</v>
      </c>
      <c r="H21" s="37" t="s">
        <v>222</v>
      </c>
    </row>
    <row r="22" spans="1:9" x14ac:dyDescent="0.25">
      <c r="A22" s="7"/>
      <c r="B22" s="8" t="s">
        <v>3</v>
      </c>
      <c r="C22" s="210">
        <f t="shared" ref="C22:H32" si="17">D5/C5-1</f>
        <v>8.4776178639074384E-2</v>
      </c>
      <c r="D22" s="210">
        <f t="shared" si="17"/>
        <v>-0.1757022237150665</v>
      </c>
      <c r="E22" s="210">
        <f t="shared" si="17"/>
        <v>-4.5617607894187451E-2</v>
      </c>
      <c r="F22" s="210">
        <f t="shared" si="17"/>
        <v>1.4363836139863473E-2</v>
      </c>
      <c r="G22" s="210">
        <f t="shared" si="17"/>
        <v>1.9863776042249315E-2</v>
      </c>
      <c r="H22" s="210">
        <f t="shared" si="17"/>
        <v>2.0798800584888921E-2</v>
      </c>
    </row>
    <row r="23" spans="1:9" x14ac:dyDescent="0.25">
      <c r="A23" s="12"/>
      <c r="B23" s="13" t="s">
        <v>33</v>
      </c>
      <c r="C23" s="210">
        <f t="shared" si="17"/>
        <v>-4.5470545396385953E-2</v>
      </c>
      <c r="D23" s="210">
        <f t="shared" si="17"/>
        <v>2.9749242671089249E-2</v>
      </c>
      <c r="E23" s="210">
        <f t="shared" si="17"/>
        <v>1.2651260524599195E-2</v>
      </c>
      <c r="F23" s="210">
        <f t="shared" si="17"/>
        <v>1.4944149518549832E-2</v>
      </c>
      <c r="G23" s="210">
        <f t="shared" si="17"/>
        <v>1.234881455157244E-2</v>
      </c>
      <c r="H23" s="210">
        <f t="shared" si="17"/>
        <v>1.2408080190937865E-2</v>
      </c>
    </row>
    <row r="24" spans="1:9" x14ac:dyDescent="0.25">
      <c r="A24" s="10"/>
      <c r="B24" s="11" t="s">
        <v>5</v>
      </c>
      <c r="C24" s="210">
        <f t="shared" si="17"/>
        <v>2.8274706808775196E-3</v>
      </c>
      <c r="D24" s="210">
        <f t="shared" si="17"/>
        <v>-1.9948545564130615E-2</v>
      </c>
      <c r="E24" s="210">
        <f t="shared" si="17"/>
        <v>-1.2448945762740804E-3</v>
      </c>
      <c r="F24" s="210">
        <f t="shared" si="17"/>
        <v>-4.3655193139467974E-3</v>
      </c>
      <c r="G24" s="210">
        <f t="shared" si="17"/>
        <v>-3.5599509233169568E-3</v>
      </c>
      <c r="H24" s="210">
        <f t="shared" si="17"/>
        <v>-3.4192718805761135E-3</v>
      </c>
    </row>
    <row r="25" spans="1:9" x14ac:dyDescent="0.25">
      <c r="A25" s="10"/>
      <c r="B25" s="11" t="s">
        <v>4</v>
      </c>
      <c r="C25" s="210">
        <f t="shared" si="17"/>
        <v>-5.3256620480153227E-3</v>
      </c>
      <c r="D25" s="210">
        <f t="shared" si="17"/>
        <v>3.2241761226052823E-3</v>
      </c>
      <c r="E25" s="210">
        <f t="shared" si="17"/>
        <v>1.5278170395319757E-2</v>
      </c>
      <c r="F25" s="210">
        <f t="shared" si="17"/>
        <v>2.7758634484690958E-2</v>
      </c>
      <c r="G25" s="210">
        <f t="shared" si="17"/>
        <v>3.401581800047615E-2</v>
      </c>
      <c r="H25" s="210">
        <f t="shared" si="17"/>
        <v>3.4999582716280786E-2</v>
      </c>
    </row>
    <row r="26" spans="1:9" ht="14" x14ac:dyDescent="0.3">
      <c r="A26" s="17" t="s">
        <v>20</v>
      </c>
      <c r="B26" s="18"/>
      <c r="C26" s="40">
        <f t="shared" si="17"/>
        <v>3.1766382158511464E-2</v>
      </c>
      <c r="D26" s="40">
        <f t="shared" si="17"/>
        <v>-7.7533352309884451E-2</v>
      </c>
      <c r="E26" s="40">
        <f t="shared" si="17"/>
        <v>-1.0467614311429618E-2</v>
      </c>
      <c r="F26" s="40">
        <f t="shared" si="17"/>
        <v>1.9664665583664753E-2</v>
      </c>
      <c r="G26" s="40">
        <f t="shared" si="17"/>
        <v>2.4880014947784579E-2</v>
      </c>
      <c r="H26" s="40">
        <f t="shared" si="17"/>
        <v>2.5852962962680692E-2</v>
      </c>
    </row>
    <row r="27" spans="1:9" x14ac:dyDescent="0.25">
      <c r="A27" s="7"/>
      <c r="B27" s="8" t="s">
        <v>7</v>
      </c>
      <c r="C27" s="210">
        <f t="shared" si="17"/>
        <v>8.4776178639074828E-2</v>
      </c>
      <c r="D27" s="210">
        <f t="shared" si="17"/>
        <v>-0.17570222371506627</v>
      </c>
      <c r="E27" s="210">
        <f t="shared" si="17"/>
        <v>-4.5617607894187562E-2</v>
      </c>
      <c r="F27" s="210">
        <f t="shared" si="17"/>
        <v>1.4363836139863251E-2</v>
      </c>
      <c r="G27" s="210">
        <f t="shared" si="17"/>
        <v>1.9863776042249315E-2</v>
      </c>
      <c r="H27" s="210">
        <f t="shared" si="17"/>
        <v>2.0798800584888921E-2</v>
      </c>
    </row>
    <row r="28" spans="1:9" x14ac:dyDescent="0.25">
      <c r="A28" s="10"/>
      <c r="B28" s="11" t="s">
        <v>34</v>
      </c>
      <c r="C28" s="210">
        <f t="shared" si="17"/>
        <v>-1.8526972010476817E-2</v>
      </c>
      <c r="D28" s="210">
        <f t="shared" si="17"/>
        <v>-3.6327707903459627E-3</v>
      </c>
      <c r="E28" s="210">
        <f t="shared" si="17"/>
        <v>2.7150221329433011E-2</v>
      </c>
      <c r="F28" s="210">
        <f t="shared" si="17"/>
        <v>1.7250812369371538E-2</v>
      </c>
      <c r="G28" s="210">
        <f t="shared" si="17"/>
        <v>1.4654903571376776E-2</v>
      </c>
      <c r="H28" s="210">
        <f t="shared" si="17"/>
        <v>1.4646412573406709E-2</v>
      </c>
    </row>
    <row r="29" spans="1:9" x14ac:dyDescent="0.25">
      <c r="A29" s="10"/>
      <c r="B29" s="11" t="s">
        <v>9</v>
      </c>
      <c r="C29" s="210">
        <f t="shared" si="17"/>
        <v>2.8274706808775196E-3</v>
      </c>
      <c r="D29" s="210">
        <f t="shared" si="17"/>
        <v>-1.9948545564130615E-2</v>
      </c>
      <c r="E29" s="210">
        <f t="shared" si="17"/>
        <v>-1.2448945762741914E-3</v>
      </c>
      <c r="F29" s="210">
        <f t="shared" si="17"/>
        <v>-4.3655193139466864E-3</v>
      </c>
      <c r="G29" s="210">
        <f t="shared" si="17"/>
        <v>-3.5599509233170679E-3</v>
      </c>
      <c r="H29" s="210">
        <f t="shared" si="17"/>
        <v>-3.4192718805761135E-3</v>
      </c>
    </row>
    <row r="30" spans="1:9" x14ac:dyDescent="0.25">
      <c r="A30" s="10"/>
      <c r="B30" s="11" t="s">
        <v>8</v>
      </c>
      <c r="C30" s="210">
        <f t="shared" si="17"/>
        <v>-5.3256620480156558E-3</v>
      </c>
      <c r="D30" s="210">
        <f t="shared" si="17"/>
        <v>3.2241761226057264E-3</v>
      </c>
      <c r="E30" s="210">
        <f t="shared" si="17"/>
        <v>1.5278170395319757E-2</v>
      </c>
      <c r="F30" s="210">
        <f t="shared" si="17"/>
        <v>2.7758634484690958E-2</v>
      </c>
      <c r="G30" s="210">
        <f t="shared" si="17"/>
        <v>3.401581800047615E-2</v>
      </c>
      <c r="H30" s="210">
        <f t="shared" si="17"/>
        <v>3.4999582716281008E-2</v>
      </c>
    </row>
    <row r="31" spans="1:9" ht="14" x14ac:dyDescent="0.3">
      <c r="A31" s="17" t="s">
        <v>10</v>
      </c>
      <c r="B31" s="18"/>
      <c r="C31" s="40">
        <f t="shared" si="17"/>
        <v>3.2994594204593497E-2</v>
      </c>
      <c r="D31" s="40">
        <f t="shared" si="17"/>
        <v>-7.8816338340540804E-2</v>
      </c>
      <c r="E31" s="40">
        <f t="shared" si="17"/>
        <v>-9.6500522752506201E-3</v>
      </c>
      <c r="F31" s="40">
        <f t="shared" si="17"/>
        <v>1.9778856971283565E-2</v>
      </c>
      <c r="G31" s="40">
        <f t="shared" si="17"/>
        <v>2.4970632418849226E-2</v>
      </c>
      <c r="H31" s="40">
        <f t="shared" si="17"/>
        <v>2.5934766397518461E-2</v>
      </c>
    </row>
    <row r="32" spans="1:9" ht="14" x14ac:dyDescent="0.3">
      <c r="A32" s="567" t="s">
        <v>11</v>
      </c>
      <c r="B32" s="567"/>
      <c r="C32" s="38">
        <f t="shared" si="17"/>
        <v>0.59715933466205873</v>
      </c>
      <c r="D32" s="38">
        <f t="shared" si="17"/>
        <v>-0.45952051741996747</v>
      </c>
      <c r="E32" s="38">
        <f t="shared" si="17"/>
        <v>0.40440481471088408</v>
      </c>
      <c r="F32" s="38">
        <f t="shared" si="17"/>
        <v>6.0527038336281924E-2</v>
      </c>
      <c r="G32" s="38">
        <f t="shared" si="17"/>
        <v>5.606075557757717E-2</v>
      </c>
      <c r="H32" s="38">
        <f t="shared" si="17"/>
        <v>5.3172198755320643E-2</v>
      </c>
    </row>
    <row r="34" spans="1:9" x14ac:dyDescent="0.25">
      <c r="A34" s="29" t="s">
        <v>25</v>
      </c>
    </row>
    <row r="36" spans="1:9" ht="14" x14ac:dyDescent="0.25">
      <c r="A36" s="562" t="s">
        <v>37</v>
      </c>
      <c r="B36" s="563"/>
      <c r="C36" s="41" t="s">
        <v>23</v>
      </c>
      <c r="D36" s="31" t="s">
        <v>23</v>
      </c>
      <c r="E36" s="564" t="s">
        <v>1</v>
      </c>
      <c r="F36" s="565"/>
      <c r="G36" s="565"/>
      <c r="H36" s="565"/>
      <c r="I36" s="566"/>
    </row>
    <row r="37" spans="1:9" ht="14" x14ac:dyDescent="0.25">
      <c r="A37" s="32"/>
      <c r="B37" s="39" t="s">
        <v>2</v>
      </c>
      <c r="C37" s="35">
        <f t="shared" ref="C37:I37" si="18">C4</f>
        <v>2019</v>
      </c>
      <c r="D37" s="34">
        <f t="shared" si="18"/>
        <v>2020</v>
      </c>
      <c r="E37" s="34" t="str">
        <f t="shared" si="18"/>
        <v>2021(p)</v>
      </c>
      <c r="F37" s="34" t="str">
        <f t="shared" si="18"/>
        <v>2022(p)</v>
      </c>
      <c r="G37" s="34" t="str">
        <f t="shared" si="18"/>
        <v>2023(p)</v>
      </c>
      <c r="H37" s="34" t="str">
        <f t="shared" si="18"/>
        <v>2024(p)</v>
      </c>
      <c r="I37" s="34" t="str">
        <f t="shared" si="18"/>
        <v>2025(p)</v>
      </c>
    </row>
    <row r="38" spans="1:9" x14ac:dyDescent="0.25">
      <c r="A38" s="7"/>
      <c r="B38" s="8" t="s">
        <v>12</v>
      </c>
      <c r="C38" s="236">
        <f>[3]Maladie!$H$11</f>
        <v>4783.2792869599998</v>
      </c>
      <c r="D38" s="236">
        <f>[3]Maladie!$I$11</f>
        <v>5065.4779986799995</v>
      </c>
      <c r="E38" s="236">
        <f>[3]Maladie!$R$11</f>
        <v>4572.0857003596229</v>
      </c>
      <c r="F38" s="236">
        <f>[3]Maladie!$W$11</f>
        <v>4344.4189483819655</v>
      </c>
      <c r="G38" s="236">
        <f>[3]Maladie!$AB$11</f>
        <v>4407.8434192380246</v>
      </c>
      <c r="H38" s="236">
        <f>[3]Maladie!$AG$11</f>
        <v>4500.1808180819626</v>
      </c>
      <c r="I38" s="236">
        <f>[3]Maladie!$AL$11</f>
        <v>4603.6165514714985</v>
      </c>
    </row>
    <row r="39" spans="1:9" x14ac:dyDescent="0.25">
      <c r="A39" s="10"/>
      <c r="B39" s="11" t="s">
        <v>35</v>
      </c>
      <c r="C39" s="237">
        <f>[3]AT!$H$11</f>
        <v>547.48803640000006</v>
      </c>
      <c r="D39" s="237">
        <f>[3]AT!$I$11</f>
        <v>541.11060888999998</v>
      </c>
      <c r="E39" s="237">
        <f>[3]AT!$R$11</f>
        <v>559.4943245920673</v>
      </c>
      <c r="F39" s="237">
        <f>[3]AT!$W$11</f>
        <v>564.33385321743322</v>
      </c>
      <c r="G39" s="237">
        <f>[3]AT!$AB$11</f>
        <v>571.88531478779919</v>
      </c>
      <c r="H39" s="237">
        <f>[3]AT!$AG$11</f>
        <v>579.29795106704705</v>
      </c>
      <c r="I39" s="237">
        <f>[3]AT!$AL$11</f>
        <v>586.57578457457043</v>
      </c>
    </row>
    <row r="40" spans="1:9" x14ac:dyDescent="0.25">
      <c r="A40" s="10"/>
      <c r="B40" s="11" t="s">
        <v>14</v>
      </c>
      <c r="C40" s="237">
        <f>[3]Famille!$H$11</f>
        <v>667.0102851800001</v>
      </c>
      <c r="D40" s="237">
        <f>[3]Famille!$I$11</f>
        <v>653.26122299999997</v>
      </c>
      <c r="E40" s="237">
        <f>[3]Famille!$R$11</f>
        <v>639.07573271093622</v>
      </c>
      <c r="F40" s="237">
        <f>[3]Famille!$W$11</f>
        <v>635.27316872056565</v>
      </c>
      <c r="G40" s="237">
        <f>[3]Famille!$AB$11</f>
        <v>631.84537850882566</v>
      </c>
      <c r="H40" s="237">
        <f>[3]Famille!$AG$11</f>
        <v>629.21433079030419</v>
      </c>
      <c r="I40" s="237">
        <f>[3]Famille!$AL$11</f>
        <v>626.81887738418368</v>
      </c>
    </row>
    <row r="41" spans="1:9" x14ac:dyDescent="0.25">
      <c r="A41" s="12"/>
      <c r="B41" s="13" t="s">
        <v>13</v>
      </c>
      <c r="C41" s="238">
        <f>[3]Vieillesse!$H$11</f>
        <v>5976.9863220700008</v>
      </c>
      <c r="D41" s="238">
        <f>[3]Vieillesse!$I$11</f>
        <v>6097.3565332900025</v>
      </c>
      <c r="E41" s="238">
        <f>[3]Vieillesse!$R$11</f>
        <v>6232.8144394015862</v>
      </c>
      <c r="F41" s="238">
        <f>[3]Vieillesse!$W$11</f>
        <v>6433.5058186363622</v>
      </c>
      <c r="G41" s="238">
        <f>[3]Vieillesse!$AB$11</f>
        <v>6667.9872408298043</v>
      </c>
      <c r="H41" s="238">
        <f>[3]Vieillesse!$AG$11</f>
        <v>6901.9526525768861</v>
      </c>
      <c r="I41" s="238">
        <f>[3]Vieillesse!$AL$11</f>
        <v>7151.5207483851455</v>
      </c>
    </row>
    <row r="42" spans="1:9" ht="14" x14ac:dyDescent="0.25">
      <c r="A42" s="17" t="s">
        <v>15</v>
      </c>
      <c r="B42" s="18"/>
      <c r="C42" s="42">
        <f t="shared" ref="C42:H42" si="19">SUM(C38:C41)</f>
        <v>11974.763930610001</v>
      </c>
      <c r="D42" s="42">
        <f t="shared" si="19"/>
        <v>12357.206363860001</v>
      </c>
      <c r="E42" s="42">
        <f t="shared" si="19"/>
        <v>12003.470197064213</v>
      </c>
      <c r="F42" s="42">
        <f t="shared" si="19"/>
        <v>11977.531788956327</v>
      </c>
      <c r="G42" s="42">
        <f t="shared" si="19"/>
        <v>12279.561353364454</v>
      </c>
      <c r="H42" s="42">
        <f t="shared" si="19"/>
        <v>12610.6457525162</v>
      </c>
      <c r="I42" s="42">
        <f>SUM(I38:I41)</f>
        <v>12968.531961815399</v>
      </c>
    </row>
    <row r="43" spans="1:9" ht="13" x14ac:dyDescent="0.25">
      <c r="A43" s="24" t="s">
        <v>21</v>
      </c>
      <c r="B43" s="25"/>
      <c r="C43" s="221">
        <f t="shared" ref="C43:I43" si="20">C42/C9</f>
        <v>0.8099799098749495</v>
      </c>
      <c r="D43" s="221">
        <f t="shared" si="20"/>
        <v>0.81011414033867513</v>
      </c>
      <c r="E43" s="221">
        <f t="shared" si="20"/>
        <v>0.853064872402166</v>
      </c>
      <c r="F43" s="221">
        <f t="shared" si="20"/>
        <v>0.86022599063810989</v>
      </c>
      <c r="G43" s="221">
        <f t="shared" si="20"/>
        <v>0.86490958752001079</v>
      </c>
      <c r="H43" s="221">
        <f t="shared" si="20"/>
        <v>0.86666679877284947</v>
      </c>
      <c r="I43" s="221">
        <f t="shared" si="20"/>
        <v>0.86880144181809404</v>
      </c>
    </row>
    <row r="44" spans="1:9" x14ac:dyDescent="0.25">
      <c r="A44" s="7"/>
      <c r="B44" s="8" t="s">
        <v>16</v>
      </c>
      <c r="C44" s="239">
        <f>[3]Maladie!$H$154</f>
        <v>1676.6181447299998</v>
      </c>
      <c r="D44" s="236">
        <f>[3]Maladie!$I$154</f>
        <v>1381.3024069000001</v>
      </c>
      <c r="E44" s="236">
        <f>[3]Maladie!$R$154</f>
        <v>1362.0020392014728</v>
      </c>
      <c r="F44" s="236">
        <f>[3]Maladie!$W$154</f>
        <v>1463.1568431127841</v>
      </c>
      <c r="G44" s="236">
        <f>[3]Maladie!$AB$154</f>
        <v>1533.1966821918827</v>
      </c>
      <c r="H44" s="236">
        <f>[3]Maladie!$AG$154</f>
        <v>1573.4466016083563</v>
      </c>
      <c r="I44" s="236">
        <f>[3]Maladie!$AL$154</f>
        <v>1609.583309078123</v>
      </c>
    </row>
    <row r="45" spans="1:9" x14ac:dyDescent="0.25">
      <c r="A45" s="10"/>
      <c r="B45" s="11" t="s">
        <v>36</v>
      </c>
      <c r="C45" s="237">
        <f>[3]AT!$H$99</f>
        <v>493.31447027000013</v>
      </c>
      <c r="D45" s="237">
        <f>[3]AT!$I$99</f>
        <v>482.45909730999983</v>
      </c>
      <c r="E45" s="237">
        <f>[3]AT!$R$99</f>
        <v>481.89367105615219</v>
      </c>
      <c r="F45" s="237">
        <f>[3]AT!$W$99</f>
        <v>508.40510200771001</v>
      </c>
      <c r="G45" s="237">
        <f>[3]AT!$AB$99</f>
        <v>528.67272161242761</v>
      </c>
      <c r="H45" s="237">
        <f>[3]AT!$AG$99</f>
        <v>536.52273004600022</v>
      </c>
      <c r="I45" s="237">
        <f>[3]AT!$AL$99</f>
        <v>546.2467914634326</v>
      </c>
    </row>
    <row r="46" spans="1:9" x14ac:dyDescent="0.25">
      <c r="A46" s="10"/>
      <c r="B46" s="11" t="s">
        <v>18</v>
      </c>
      <c r="C46" s="237">
        <f>[3]Famille!$H$92</f>
        <v>629.38121721999994</v>
      </c>
      <c r="D46" s="237">
        <f>[3]Famille!$I$92</f>
        <v>621.82517428000006</v>
      </c>
      <c r="E46" s="237">
        <f>[3]Famille!$R$92</f>
        <v>598.08749973164481</v>
      </c>
      <c r="F46" s="237">
        <f>[3]Famille!$W$92</f>
        <v>654.03354731837226</v>
      </c>
      <c r="G46" s="237">
        <f>[3]Famille!$AB$92</f>
        <v>672.93194360115012</v>
      </c>
      <c r="H46" s="237">
        <f>[3]Famille!$AG$92</f>
        <v>690.71981301807591</v>
      </c>
      <c r="I46" s="237">
        <f>[3]Famille!$AL$92</f>
        <v>706.77420652742614</v>
      </c>
    </row>
    <row r="47" spans="1:9" x14ac:dyDescent="0.25">
      <c r="A47" s="10"/>
      <c r="B47" s="11" t="s">
        <v>17</v>
      </c>
      <c r="C47" s="237">
        <f>[3]Vieillesse!$H$107</f>
        <v>2958.6473397100003</v>
      </c>
      <c r="D47" s="237">
        <f>[3]Vieillesse!$I$107</f>
        <v>2949.6173165</v>
      </c>
      <c r="E47" s="237">
        <f>[3]Vieillesse!$R$107</f>
        <v>2947.253498909743</v>
      </c>
      <c r="F47" s="237">
        <f>[3]Vieillesse!$W$107</f>
        <v>3101.6132387693006</v>
      </c>
      <c r="G47" s="237">
        <f>[3]Vieillesse!$AB$107</f>
        <v>3191.4099031101687</v>
      </c>
      <c r="H47" s="237">
        <f>[3]Vieillesse!$AG$107</f>
        <v>3275.8945312355036</v>
      </c>
      <c r="I47" s="237">
        <f>[3]Vieillesse!$AL$107</f>
        <v>3352.1392499076414</v>
      </c>
    </row>
    <row r="48" spans="1:9" ht="14" x14ac:dyDescent="0.25">
      <c r="A48" s="17" t="s">
        <v>19</v>
      </c>
      <c r="B48" s="18"/>
      <c r="C48" s="42">
        <f t="shared" ref="C48:H48" si="21">SUM(C44:C47)</f>
        <v>5757.9611719300001</v>
      </c>
      <c r="D48" s="42">
        <f t="shared" si="21"/>
        <v>5435.20399499</v>
      </c>
      <c r="E48" s="42">
        <f t="shared" si="21"/>
        <v>5389.2367088990131</v>
      </c>
      <c r="F48" s="42">
        <f t="shared" si="21"/>
        <v>5727.2087312081667</v>
      </c>
      <c r="G48" s="42">
        <f t="shared" si="21"/>
        <v>5926.2112505156292</v>
      </c>
      <c r="H48" s="42">
        <f t="shared" si="21"/>
        <v>6076.5836759079357</v>
      </c>
      <c r="I48" s="42">
        <f>SUM(I44:I47)</f>
        <v>6214.743556976623</v>
      </c>
    </row>
    <row r="49" spans="1:9" ht="13" x14ac:dyDescent="0.25">
      <c r="A49" s="24" t="s">
        <v>22</v>
      </c>
      <c r="B49" s="25"/>
      <c r="C49" s="43">
        <f t="shared" ref="C49:I49" si="22">C48/C14</f>
        <v>0.38862574495980629</v>
      </c>
      <c r="D49" s="43">
        <f t="shared" si="22"/>
        <v>0.35512450023215847</v>
      </c>
      <c r="E49" s="43">
        <f t="shared" si="22"/>
        <v>0.38224852611793392</v>
      </c>
      <c r="F49" s="43">
        <f t="shared" si="22"/>
        <v>0.41017849635835008</v>
      </c>
      <c r="G49" s="43">
        <f t="shared" si="22"/>
        <v>0.41619897117609511</v>
      </c>
      <c r="H49" s="43">
        <f t="shared" si="22"/>
        <v>0.41636281315955509</v>
      </c>
      <c r="I49" s="43">
        <f t="shared" si="22"/>
        <v>0.41506481239274567</v>
      </c>
    </row>
    <row r="51" spans="1:9" ht="14" x14ac:dyDescent="0.3">
      <c r="A51" s="562" t="s">
        <v>37</v>
      </c>
      <c r="B51" s="563"/>
      <c r="C51" s="36" t="s">
        <v>23</v>
      </c>
      <c r="D51" s="569" t="s">
        <v>1</v>
      </c>
      <c r="E51" s="569"/>
      <c r="F51" s="569"/>
      <c r="G51" s="569"/>
      <c r="H51" s="569"/>
    </row>
    <row r="52" spans="1:9" ht="14" x14ac:dyDescent="0.3">
      <c r="A52" s="32"/>
      <c r="B52" s="33" t="s">
        <v>0</v>
      </c>
      <c r="C52" s="37" t="str">
        <f t="shared" ref="C52:H52" si="23">C21</f>
        <v>2020/2019</v>
      </c>
      <c r="D52" s="37" t="str">
        <f t="shared" si="23"/>
        <v>2021/2020</v>
      </c>
      <c r="E52" s="37" t="str">
        <f t="shared" si="23"/>
        <v>2022/2021</v>
      </c>
      <c r="F52" s="37" t="str">
        <f t="shared" si="23"/>
        <v>2023/2022</v>
      </c>
      <c r="G52" s="37" t="str">
        <f t="shared" si="23"/>
        <v>2024/2023</v>
      </c>
      <c r="H52" s="37" t="str">
        <f t="shared" si="23"/>
        <v>2025/2024</v>
      </c>
    </row>
    <row r="53" spans="1:9" x14ac:dyDescent="0.25">
      <c r="A53" s="7"/>
      <c r="B53" s="8" t="s">
        <v>12</v>
      </c>
      <c r="C53" s="211">
        <f t="shared" ref="C53:H53" si="24">D38/C38-1</f>
        <v>5.899691295244236E-2</v>
      </c>
      <c r="D53" s="211">
        <f t="shared" si="24"/>
        <v>-9.7402910139763432E-2</v>
      </c>
      <c r="E53" s="211">
        <f t="shared" si="24"/>
        <v>-4.979494412358676E-2</v>
      </c>
      <c r="F53" s="211">
        <f t="shared" si="24"/>
        <v>1.4599068738451404E-2</v>
      </c>
      <c r="G53" s="211">
        <f t="shared" si="24"/>
        <v>2.0948429892253317E-2</v>
      </c>
      <c r="H53" s="211">
        <f t="shared" si="24"/>
        <v>2.2984794960665855E-2</v>
      </c>
    </row>
    <row r="54" spans="1:9" x14ac:dyDescent="0.25">
      <c r="A54" s="10"/>
      <c r="B54" s="13" t="s">
        <v>35</v>
      </c>
      <c r="C54" s="211">
        <f t="shared" ref="C54:H54" si="25">D39/C39-1</f>
        <v>-1.1648523960331225E-2</v>
      </c>
      <c r="D54" s="211">
        <f t="shared" si="25"/>
        <v>3.3974044123397551E-2</v>
      </c>
      <c r="E54" s="211">
        <f t="shared" si="25"/>
        <v>8.6498261245000485E-3</v>
      </c>
      <c r="F54" s="211">
        <f t="shared" si="25"/>
        <v>1.3381195417061953E-2</v>
      </c>
      <c r="G54" s="211">
        <f t="shared" si="25"/>
        <v>1.2961753148003741E-2</v>
      </c>
      <c r="H54" s="211">
        <f t="shared" si="25"/>
        <v>1.2563195664886839E-2</v>
      </c>
    </row>
    <row r="55" spans="1:9" x14ac:dyDescent="0.25">
      <c r="A55" s="10"/>
      <c r="B55" s="11" t="s">
        <v>14</v>
      </c>
      <c r="C55" s="211">
        <f t="shared" ref="C55:H55" si="26">D40/C40-1</f>
        <v>-2.0612968773472184E-2</v>
      </c>
      <c r="D55" s="211">
        <f t="shared" si="26"/>
        <v>-2.1714881872092584E-2</v>
      </c>
      <c r="E55" s="211">
        <f t="shared" si="26"/>
        <v>-5.9500991756332722E-3</v>
      </c>
      <c r="F55" s="211">
        <f t="shared" si="26"/>
        <v>-5.3957736301747383E-3</v>
      </c>
      <c r="G55" s="211">
        <f t="shared" si="26"/>
        <v>-4.1640689447326462E-3</v>
      </c>
      <c r="H55" s="211">
        <f t="shared" si="26"/>
        <v>-3.807054748914851E-3</v>
      </c>
    </row>
    <row r="56" spans="1:9" x14ac:dyDescent="0.25">
      <c r="A56" s="12"/>
      <c r="B56" s="11" t="s">
        <v>13</v>
      </c>
      <c r="C56" s="211">
        <f t="shared" ref="C56:H56" si="27">D41/C41-1</f>
        <v>2.0138947076980163E-2</v>
      </c>
      <c r="D56" s="211">
        <f t="shared" si="27"/>
        <v>2.221584146703881E-2</v>
      </c>
      <c r="E56" s="211">
        <f t="shared" si="27"/>
        <v>3.2199158371550185E-2</v>
      </c>
      <c r="F56" s="211">
        <f t="shared" si="27"/>
        <v>3.6446912275140075E-2</v>
      </c>
      <c r="G56" s="211">
        <f t="shared" si="27"/>
        <v>3.5087861343592763E-2</v>
      </c>
      <c r="H56" s="211">
        <f t="shared" si="27"/>
        <v>3.6159056483107133E-2</v>
      </c>
    </row>
    <row r="57" spans="1:9" ht="14" x14ac:dyDescent="0.3">
      <c r="A57" s="17" t="s">
        <v>15</v>
      </c>
      <c r="B57" s="21"/>
      <c r="C57" s="201">
        <f t="shared" ref="C57:H57" si="28">D42/C42-1</f>
        <v>3.1937367238814351E-2</v>
      </c>
      <c r="D57" s="201">
        <f t="shared" si="28"/>
        <v>-2.8625901063716874E-2</v>
      </c>
      <c r="E57" s="201">
        <f t="shared" si="28"/>
        <v>-2.1609091106195022E-3</v>
      </c>
      <c r="F57" s="201">
        <f t="shared" si="28"/>
        <v>2.5216344212637187E-2</v>
      </c>
      <c r="G57" s="201">
        <f t="shared" si="28"/>
        <v>2.6962233391263135E-2</v>
      </c>
      <c r="H57" s="201">
        <f t="shared" si="28"/>
        <v>2.8379689376952788E-2</v>
      </c>
    </row>
    <row r="58" spans="1:9" x14ac:dyDescent="0.25">
      <c r="A58" s="7"/>
      <c r="B58" s="8" t="s">
        <v>16</v>
      </c>
      <c r="C58" s="211">
        <f t="shared" ref="C58:H58" si="29">D44/C44-1</f>
        <v>-0.17613774415972161</v>
      </c>
      <c r="D58" s="211">
        <f t="shared" si="29"/>
        <v>-1.3972586742856841E-2</v>
      </c>
      <c r="E58" s="211">
        <f t="shared" si="29"/>
        <v>7.4269201513543548E-2</v>
      </c>
      <c r="F58" s="211">
        <f t="shared" si="29"/>
        <v>4.7868989171449883E-2</v>
      </c>
      <c r="G58" s="211">
        <f t="shared" si="29"/>
        <v>2.625228705747773E-2</v>
      </c>
      <c r="H58" s="211">
        <f t="shared" si="29"/>
        <v>2.2966592849625878E-2</v>
      </c>
    </row>
    <row r="59" spans="1:9" x14ac:dyDescent="0.25">
      <c r="A59" s="10"/>
      <c r="B59" s="13" t="s">
        <v>36</v>
      </c>
      <c r="C59" s="211">
        <f t="shared" ref="C59:D62" si="30">D45/C45-1</f>
        <v>-2.2004975759293943E-2</v>
      </c>
      <c r="D59" s="211">
        <f t="shared" si="30"/>
        <v>-1.1719672341142795E-3</v>
      </c>
      <c r="E59" s="211">
        <f t="shared" ref="E59:H61" si="31">F45/E45-1</f>
        <v>5.5015105082109717E-2</v>
      </c>
      <c r="F59" s="211">
        <f t="shared" si="31"/>
        <v>3.9865098766082463E-2</v>
      </c>
      <c r="G59" s="211">
        <f t="shared" si="31"/>
        <v>1.4848521803111803E-2</v>
      </c>
      <c r="H59" s="211">
        <f t="shared" si="31"/>
        <v>1.8124230107825268E-2</v>
      </c>
    </row>
    <row r="60" spans="1:9" x14ac:dyDescent="0.25">
      <c r="A60" s="10"/>
      <c r="B60" s="11" t="s">
        <v>18</v>
      </c>
      <c r="C60" s="211">
        <f t="shared" si="30"/>
        <v>-1.2005510703632427E-2</v>
      </c>
      <c r="D60" s="211">
        <f t="shared" si="30"/>
        <v>-3.817419353573237E-2</v>
      </c>
      <c r="E60" s="211">
        <f t="shared" si="31"/>
        <v>9.3541576461353637E-2</v>
      </c>
      <c r="F60" s="211">
        <f t="shared" si="31"/>
        <v>2.8895148208014643E-2</v>
      </c>
      <c r="G60" s="211">
        <f t="shared" si="31"/>
        <v>2.6433385405566057E-2</v>
      </c>
      <c r="H60" s="211">
        <f t="shared" si="31"/>
        <v>2.3242989714166606E-2</v>
      </c>
    </row>
    <row r="61" spans="1:9" x14ac:dyDescent="0.25">
      <c r="A61" s="10"/>
      <c r="B61" s="11" t="s">
        <v>17</v>
      </c>
      <c r="C61" s="211">
        <f t="shared" si="30"/>
        <v>-3.0520782550871317E-3</v>
      </c>
      <c r="D61" s="211">
        <f t="shared" si="30"/>
        <v>-8.0139805832912803E-4</v>
      </c>
      <c r="E61" s="211">
        <f t="shared" si="31"/>
        <v>5.2374096736727438E-2</v>
      </c>
      <c r="F61" s="211">
        <f t="shared" ref="F61:H62" si="32">G47/F47-1</f>
        <v>2.8951599515514959E-2</v>
      </c>
      <c r="G61" s="211">
        <f t="shared" si="32"/>
        <v>2.647250923267519E-2</v>
      </c>
      <c r="H61" s="211">
        <f t="shared" si="32"/>
        <v>2.3274472955447045E-2</v>
      </c>
    </row>
    <row r="62" spans="1:9" ht="14" x14ac:dyDescent="0.3">
      <c r="A62" s="17" t="s">
        <v>19</v>
      </c>
      <c r="B62" s="21"/>
      <c r="C62" s="201">
        <f t="shared" si="30"/>
        <v>-5.6054073187127074E-2</v>
      </c>
      <c r="D62" s="201">
        <f t="shared" si="30"/>
        <v>-8.4573249013942808E-3</v>
      </c>
      <c r="E62" s="201">
        <f>F48/E48-1</f>
        <v>6.271241004335093E-2</v>
      </c>
      <c r="F62" s="201">
        <f t="shared" si="32"/>
        <v>3.4746859883607373E-2</v>
      </c>
      <c r="G62" s="201">
        <f t="shared" si="32"/>
        <v>2.5374125058269303E-2</v>
      </c>
      <c r="H62" s="201">
        <f t="shared" si="32"/>
        <v>2.2736440150812998E-2</v>
      </c>
    </row>
  </sheetData>
  <mergeCells count="12">
    <mergeCell ref="N3:R3"/>
    <mergeCell ref="A3:B3"/>
    <mergeCell ref="E3:I3"/>
    <mergeCell ref="A15:B15"/>
    <mergeCell ref="A51:B51"/>
    <mergeCell ref="D51:H51"/>
    <mergeCell ref="A20:B20"/>
    <mergeCell ref="D20:H20"/>
    <mergeCell ref="A32:B32"/>
    <mergeCell ref="A36:B36"/>
    <mergeCell ref="E36:I36"/>
    <mergeCell ref="N11:R1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="80" zoomScaleNormal="80" workbookViewId="0">
      <pane xSplit="1" ySplit="1" topLeftCell="B2" activePane="bottomRight" state="frozen"/>
      <selection activeCell="A42" sqref="A42"/>
      <selection pane="topRight" activeCell="A42" sqref="A42"/>
      <selection pane="bottomLeft" activeCell="A42" sqref="A42"/>
      <selection pane="bottomRight"/>
    </sheetView>
  </sheetViews>
  <sheetFormatPr baseColWidth="10" defaultRowHeight="12.5" x14ac:dyDescent="0.25"/>
  <cols>
    <col min="1" max="1" width="35.54296875" customWidth="1"/>
    <col min="2" max="3" width="17.81640625" bestFit="1" customWidth="1"/>
    <col min="4" max="4" width="18.1796875" bestFit="1" customWidth="1"/>
    <col min="5" max="5" width="17.81640625" bestFit="1" customWidth="1"/>
    <col min="6" max="8" width="18.1796875" bestFit="1" customWidth="1"/>
    <col min="9" max="9" width="26.26953125" bestFit="1" customWidth="1"/>
    <col min="13" max="13" width="10.81640625" bestFit="1" customWidth="1"/>
  </cols>
  <sheetData>
    <row r="1" spans="1:13" x14ac:dyDescent="0.25">
      <c r="A1" s="76"/>
      <c r="B1" s="77" t="s">
        <v>110</v>
      </c>
      <c r="C1" s="77" t="s">
        <v>115</v>
      </c>
      <c r="D1" s="77" t="s">
        <v>126</v>
      </c>
      <c r="E1" s="77" t="s">
        <v>156</v>
      </c>
      <c r="F1" s="77" t="s">
        <v>161</v>
      </c>
      <c r="G1" s="77" t="s">
        <v>177</v>
      </c>
      <c r="H1" s="77" t="s">
        <v>224</v>
      </c>
      <c r="I1" s="77" t="s">
        <v>225</v>
      </c>
    </row>
    <row r="2" spans="1:13" x14ac:dyDescent="0.25">
      <c r="A2" s="78" t="s">
        <v>40</v>
      </c>
      <c r="B2" s="122">
        <f>TableauxNote!C5</f>
        <v>6324.7866769600014</v>
      </c>
      <c r="C2" s="122">
        <f>TableauxNote!D5</f>
        <v>6860.9779221400004</v>
      </c>
      <c r="D2" s="122">
        <f>TableauxNote!E5</f>
        <v>5655.4888443600257</v>
      </c>
      <c r="E2" s="122">
        <f>TableauxNote!F5</f>
        <v>5397.4989718080587</v>
      </c>
      <c r="F2" s="122">
        <f>TableauxNote!G5</f>
        <v>5475.0277626041907</v>
      </c>
      <c r="G2" s="122">
        <f>TableauxNote!H5</f>
        <v>5583.7824879056579</v>
      </c>
      <c r="H2" s="122">
        <f>TableauxNote!I5</f>
        <v>5699.9184663810029</v>
      </c>
      <c r="I2" s="487">
        <f>E9-E2</f>
        <v>0</v>
      </c>
    </row>
    <row r="3" spans="1:13" x14ac:dyDescent="0.25">
      <c r="A3" s="78" t="s">
        <v>41</v>
      </c>
      <c r="B3" s="122">
        <f>TableauxNote!C6</f>
        <v>735.46909385999993</v>
      </c>
      <c r="C3" s="122">
        <f>TableauxNote!D6</f>
        <v>702.02691303999995</v>
      </c>
      <c r="D3" s="122">
        <f>TableauxNote!E6</f>
        <v>722.91168203766256</v>
      </c>
      <c r="E3" s="122">
        <f>TableauxNote!F6</f>
        <v>732.0574260633972</v>
      </c>
      <c r="F3" s="122">
        <f>TableauxNote!G6</f>
        <v>742.99740169465338</v>
      </c>
      <c r="G3" s="122">
        <f>TableauxNote!H6</f>
        <v>752.17253882048078</v>
      </c>
      <c r="H3" s="122">
        <f>TableauxNote!I6</f>
        <v>761.50555599958659</v>
      </c>
      <c r="I3" s="487">
        <f>E10-E3</f>
        <v>39.019337560961276</v>
      </c>
    </row>
    <row r="4" spans="1:13" x14ac:dyDescent="0.25">
      <c r="A4" s="78" t="s">
        <v>42</v>
      </c>
      <c r="B4" s="122">
        <f>TableauxNote!C7</f>
        <v>983.68814884999995</v>
      </c>
      <c r="C4" s="122">
        <f>TableauxNote!D7</f>
        <v>986.46949825000002</v>
      </c>
      <c r="D4" s="122">
        <f>TableauxNote!E7</f>
        <v>966.79086651653483</v>
      </c>
      <c r="E4" s="122">
        <f>TableauxNote!F7</f>
        <v>965.58731381041707</v>
      </c>
      <c r="F4" s="122">
        <f>TableauxNote!G7</f>
        <v>961.37202374267565</v>
      </c>
      <c r="G4" s="122">
        <f>TableauxNote!H7</f>
        <v>957.94958651910179</v>
      </c>
      <c r="H4" s="122">
        <f>TableauxNote!I7</f>
        <v>954.67409643490748</v>
      </c>
      <c r="I4" s="487">
        <f>E11-E4</f>
        <v>0</v>
      </c>
    </row>
    <row r="5" spans="1:13" ht="13" thickBot="1" x14ac:dyDescent="0.3">
      <c r="A5" s="78" t="s">
        <v>43</v>
      </c>
      <c r="B5" s="122">
        <f>TableauxNote!C8</f>
        <v>6740.081936550001</v>
      </c>
      <c r="C5" s="122">
        <f>TableauxNote!D8</f>
        <v>6704.1865379800029</v>
      </c>
      <c r="D5" s="122">
        <f>TableauxNote!E8</f>
        <v>6725.8020161372497</v>
      </c>
      <c r="E5" s="122">
        <f>TableauxNote!F8</f>
        <v>6828.5599653849795</v>
      </c>
      <c r="F5" s="122">
        <f>TableauxNote!G8</f>
        <v>7018.1114655208958</v>
      </c>
      <c r="G5" s="122">
        <f>TableauxNote!H8</f>
        <v>7256.838267839109</v>
      </c>
      <c r="H5" s="122">
        <f>TableauxNote!I8</f>
        <v>7510.8245790530164</v>
      </c>
      <c r="I5" s="487">
        <f>E12-E5</f>
        <v>0</v>
      </c>
    </row>
    <row r="6" spans="1:13" ht="13.5" thickBot="1" x14ac:dyDescent="0.35">
      <c r="A6" s="545" t="s">
        <v>44</v>
      </c>
      <c r="B6" s="546">
        <f t="shared" ref="B6:H6" si="0">SUM(B2:B5)</f>
        <v>14784.025856220003</v>
      </c>
      <c r="C6" s="546">
        <f t="shared" si="0"/>
        <v>15253.660871410004</v>
      </c>
      <c r="D6" s="546">
        <f t="shared" si="0"/>
        <v>14070.993409051473</v>
      </c>
      <c r="E6" s="546">
        <f t="shared" si="0"/>
        <v>13923.703677066853</v>
      </c>
      <c r="F6" s="546">
        <f t="shared" si="0"/>
        <v>14197.508653562416</v>
      </c>
      <c r="G6" s="546">
        <f t="shared" si="0"/>
        <v>14550.742881084348</v>
      </c>
      <c r="H6" s="547">
        <f t="shared" si="0"/>
        <v>14926.922697868513</v>
      </c>
    </row>
    <row r="7" spans="1:13" ht="13" x14ac:dyDescent="0.3">
      <c r="A7" s="79" t="s">
        <v>45</v>
      </c>
      <c r="B7" s="121">
        <f>TableauxNote!C9</f>
        <v>14784.025856220003</v>
      </c>
      <c r="C7" s="121">
        <f>TableauxNote!D9</f>
        <v>15253.660871410004</v>
      </c>
      <c r="D7" s="121">
        <f>TableauxNote!E9</f>
        <v>14070.993409051473</v>
      </c>
      <c r="E7" s="121">
        <f>TableauxNote!F9</f>
        <v>13923.703677066853</v>
      </c>
      <c r="F7" s="121">
        <f>TableauxNote!G9</f>
        <v>14197.508653562416</v>
      </c>
      <c r="G7" s="121">
        <f>TableauxNote!H9</f>
        <v>14550.742881084348</v>
      </c>
      <c r="H7" s="121">
        <f>TableauxNote!I9</f>
        <v>14926.922697868513</v>
      </c>
    </row>
    <row r="8" spans="1:13" ht="13" x14ac:dyDescent="0.3">
      <c r="A8" s="79"/>
      <c r="B8" s="121"/>
      <c r="C8" s="121"/>
      <c r="D8" s="121"/>
      <c r="E8" s="121"/>
      <c r="F8" s="121"/>
      <c r="G8" s="121"/>
      <c r="H8" s="121"/>
    </row>
    <row r="9" spans="1:13" x14ac:dyDescent="0.25">
      <c r="A9" t="s">
        <v>46</v>
      </c>
      <c r="B9" s="123">
        <f>TableauxNote!C10</f>
        <v>6324.7866769599996</v>
      </c>
      <c r="C9" s="123">
        <f>TableauxNote!D10</f>
        <v>6860.9779221400004</v>
      </c>
      <c r="D9" s="123">
        <f>TableauxNote!E10</f>
        <v>5655.4888443600275</v>
      </c>
      <c r="E9" s="123">
        <f>TableauxNote!F10</f>
        <v>5397.4989718080597</v>
      </c>
      <c r="F9" s="123">
        <f>TableauxNote!G10</f>
        <v>5475.0277626041916</v>
      </c>
      <c r="G9" s="123">
        <f>TableauxNote!H10</f>
        <v>5583.7824879056589</v>
      </c>
      <c r="H9" s="123">
        <f>TableauxNote!I10</f>
        <v>5699.9184663810038</v>
      </c>
    </row>
    <row r="10" spans="1:13" x14ac:dyDescent="0.25">
      <c r="A10" t="s">
        <v>47</v>
      </c>
      <c r="B10" s="123">
        <f>TableauxNote!C11</f>
        <v>767.65458391999994</v>
      </c>
      <c r="C10" s="123">
        <f>TableauxNote!D11</f>
        <v>753.43226892999985</v>
      </c>
      <c r="D10" s="123">
        <f>TableauxNote!E11</f>
        <v>750.69522219092687</v>
      </c>
      <c r="E10" s="123">
        <f>TableauxNote!F11</f>
        <v>771.07676362435848</v>
      </c>
      <c r="F10" s="123">
        <f>TableauxNote!G11</f>
        <v>784.37846419602454</v>
      </c>
      <c r="G10" s="123">
        <f>TableauxNote!H11</f>
        <v>795.87345495228192</v>
      </c>
      <c r="H10" s="123">
        <f>TableauxNote!I11</f>
        <v>807.53014592973568</v>
      </c>
    </row>
    <row r="11" spans="1:13" x14ac:dyDescent="0.25">
      <c r="A11" t="s">
        <v>48</v>
      </c>
      <c r="B11" s="123">
        <f>TableauxNote!C12</f>
        <v>983.68814884999995</v>
      </c>
      <c r="C11" s="123">
        <f>TableauxNote!D12</f>
        <v>986.46949825000002</v>
      </c>
      <c r="D11" s="123">
        <f>TableauxNote!E12</f>
        <v>966.79086651653483</v>
      </c>
      <c r="E11" s="123">
        <f>TableauxNote!F12</f>
        <v>965.58731381041696</v>
      </c>
      <c r="F11" s="123">
        <f>TableauxNote!G12</f>
        <v>961.37202374267565</v>
      </c>
      <c r="G11" s="123">
        <f>TableauxNote!H12</f>
        <v>957.94958651910167</v>
      </c>
      <c r="H11" s="123">
        <f>TableauxNote!I12</f>
        <v>954.67409643490737</v>
      </c>
    </row>
    <row r="12" spans="1:13" ht="13" thickBot="1" x14ac:dyDescent="0.3">
      <c r="A12" t="s">
        <v>49</v>
      </c>
      <c r="B12" s="123">
        <f>TableauxNote!C13</f>
        <v>6740.081936550001</v>
      </c>
      <c r="C12" s="123">
        <f>TableauxNote!D13</f>
        <v>6704.186537980001</v>
      </c>
      <c r="D12" s="123">
        <f>TableauxNote!E13</f>
        <v>6725.8020161372506</v>
      </c>
      <c r="E12" s="123">
        <f>TableauxNote!F13</f>
        <v>6828.5599653849804</v>
      </c>
      <c r="F12" s="123">
        <f>TableauxNote!G13</f>
        <v>7018.1114655208958</v>
      </c>
      <c r="G12" s="123">
        <f>TableauxNote!H13</f>
        <v>7256.838267839109</v>
      </c>
      <c r="H12" s="123">
        <f>TableauxNote!I13</f>
        <v>7510.8245790530173</v>
      </c>
    </row>
    <row r="13" spans="1:13" s="171" customFormat="1" ht="13.5" thickBot="1" x14ac:dyDescent="0.35">
      <c r="A13" s="542" t="s">
        <v>50</v>
      </c>
      <c r="B13" s="543">
        <f>TableauxNote!C14</f>
        <v>14816.211346280001</v>
      </c>
      <c r="C13" s="543">
        <f>TableauxNote!D14</f>
        <v>15305.066227300002</v>
      </c>
      <c r="D13" s="543">
        <f>TableauxNote!E14</f>
        <v>14098.776949204741</v>
      </c>
      <c r="E13" s="543">
        <f>TableauxNote!F14</f>
        <v>13962.723014627816</v>
      </c>
      <c r="F13" s="543">
        <f>TableauxNote!G14</f>
        <v>14238.889716063788</v>
      </c>
      <c r="G13" s="543">
        <f>TableauxNote!H14</f>
        <v>14594.44379721615</v>
      </c>
      <c r="H13" s="544">
        <f>TableauxNote!I14</f>
        <v>14972.947287798665</v>
      </c>
    </row>
    <row r="14" spans="1:13" ht="13" x14ac:dyDescent="0.3">
      <c r="A14" s="84" t="s">
        <v>45</v>
      </c>
      <c r="B14" s="124">
        <f>TableauxNote!C14</f>
        <v>14816.211346280001</v>
      </c>
      <c r="C14" s="124">
        <f>TableauxNote!D14</f>
        <v>15305.066227300002</v>
      </c>
      <c r="D14" s="124">
        <f>TableauxNote!E14</f>
        <v>14098.776949204741</v>
      </c>
      <c r="E14" s="124">
        <f>TableauxNote!F14</f>
        <v>13962.723014627816</v>
      </c>
      <c r="F14" s="124">
        <f>TableauxNote!G14</f>
        <v>14238.889716063788</v>
      </c>
      <c r="G14" s="124">
        <f>TableauxNote!H14</f>
        <v>14594.44379721615</v>
      </c>
      <c r="H14" s="124">
        <f>TableauxNote!I14</f>
        <v>14972.947287798665</v>
      </c>
    </row>
    <row r="15" spans="1:13" ht="13" x14ac:dyDescent="0.3">
      <c r="A15" s="84"/>
      <c r="B15" s="124"/>
      <c r="C15" s="124"/>
      <c r="D15" s="124"/>
      <c r="E15" s="124"/>
      <c r="F15" s="124"/>
      <c r="G15" s="124"/>
      <c r="H15" s="124"/>
    </row>
    <row r="16" spans="1:13" x14ac:dyDescent="0.25">
      <c r="A16" s="85" t="s">
        <v>51</v>
      </c>
      <c r="B16" s="205">
        <f>[3]Maladie!$H$195</f>
        <v>0</v>
      </c>
      <c r="C16" s="205">
        <f>[3]Maladie!$I$195</f>
        <v>0</v>
      </c>
      <c r="D16" s="205">
        <f>[3]Maladie!$R$195</f>
        <v>0</v>
      </c>
      <c r="E16" s="205">
        <f>[3]Maladie!$W$195</f>
        <v>0</v>
      </c>
      <c r="F16" s="205">
        <f>[3]Maladie!$AB$195</f>
        <v>0</v>
      </c>
      <c r="G16" s="205">
        <f>[3]Maladie!$AG$195</f>
        <v>0</v>
      </c>
      <c r="H16" s="205">
        <f>[3]Maladie!$AL$195</f>
        <v>0</v>
      </c>
      <c r="I16" s="171" t="s">
        <v>127</v>
      </c>
      <c r="J16" s="171"/>
      <c r="K16" s="171"/>
      <c r="L16" s="171"/>
      <c r="M16" s="383"/>
    </row>
    <row r="17" spans="1:12" x14ac:dyDescent="0.25">
      <c r="A17" s="85" t="s">
        <v>52</v>
      </c>
      <c r="B17" s="205">
        <f>[3]AT!$H$139</f>
        <v>0</v>
      </c>
      <c r="C17" s="205">
        <f>[3]AT!$I$139</f>
        <v>12.164656880000001</v>
      </c>
      <c r="D17" s="205">
        <f>[3]AT!$R$139</f>
        <v>14</v>
      </c>
      <c r="E17" s="205">
        <f>[3]AT!$W$139</f>
        <v>14</v>
      </c>
      <c r="F17" s="205">
        <f>[3]AT!$AB$139</f>
        <v>14.418497982559202</v>
      </c>
      <c r="G17" s="205">
        <f>[3]AT!$AG$139</f>
        <v>14.82798155878719</v>
      </c>
      <c r="H17" s="205">
        <f>[3]AT!$AL$139</f>
        <v>15.268605065187176</v>
      </c>
      <c r="I17" s="171" t="s">
        <v>127</v>
      </c>
      <c r="J17" s="171"/>
      <c r="K17" s="171"/>
      <c r="L17" s="171"/>
    </row>
    <row r="18" spans="1:12" x14ac:dyDescent="0.25">
      <c r="A18" s="85" t="s">
        <v>53</v>
      </c>
      <c r="B18" s="205">
        <f>[3]Famille!$H$122</f>
        <v>0</v>
      </c>
      <c r="C18" s="205">
        <f>[3]Famille!$I$122</f>
        <v>0</v>
      </c>
      <c r="D18" s="205">
        <f>[3]Famille!$R$122</f>
        <v>0</v>
      </c>
      <c r="E18" s="205">
        <f>[3]Famille!$W$122</f>
        <v>0</v>
      </c>
      <c r="F18" s="205">
        <f>[3]Famille!$AB$122</f>
        <v>0</v>
      </c>
      <c r="G18" s="205">
        <f>[3]Famille!$AG$122</f>
        <v>0</v>
      </c>
      <c r="H18" s="205">
        <f>[3]Famille!$AL$122</f>
        <v>0</v>
      </c>
      <c r="I18" s="171" t="s">
        <v>127</v>
      </c>
      <c r="J18" s="171"/>
      <c r="K18" s="171"/>
      <c r="L18" s="171"/>
    </row>
    <row r="19" spans="1:12" x14ac:dyDescent="0.25">
      <c r="A19" s="85" t="s">
        <v>54</v>
      </c>
      <c r="B19" s="205">
        <f>[3]Vieillesse!$H$152</f>
        <v>0</v>
      </c>
      <c r="C19" s="205">
        <f>[3]Vieillesse!$I$152</f>
        <v>0</v>
      </c>
      <c r="D19" s="205">
        <f>[3]Vieillesse!$R$152</f>
        <v>0</v>
      </c>
      <c r="E19" s="205">
        <f>[3]Vieillesse!$W$152</f>
        <v>0</v>
      </c>
      <c r="F19" s="205">
        <f>[3]Vieillesse!$AB$152</f>
        <v>0</v>
      </c>
      <c r="G19" s="205">
        <f>[3]Vieillesse!$AG$152</f>
        <v>0</v>
      </c>
      <c r="H19" s="205">
        <f>[3]Vieillesse!$AL$152</f>
        <v>0</v>
      </c>
      <c r="I19" s="171" t="s">
        <v>127</v>
      </c>
      <c r="J19" s="171"/>
      <c r="K19" s="171"/>
      <c r="L19" s="171"/>
    </row>
    <row r="20" spans="1:12" s="84" customFormat="1" ht="13" x14ac:dyDescent="0.3">
      <c r="A20" s="86" t="s">
        <v>55</v>
      </c>
      <c r="B20" s="204">
        <f>SUM(B16:B19)</f>
        <v>0</v>
      </c>
      <c r="C20" s="204">
        <f t="shared" ref="C20:H20" si="1">SUM(C16:C19)</f>
        <v>12.164656880000001</v>
      </c>
      <c r="D20" s="204">
        <f t="shared" si="1"/>
        <v>14</v>
      </c>
      <c r="E20" s="204">
        <f>SUM(E16:E19)</f>
        <v>14</v>
      </c>
      <c r="F20" s="204">
        <f t="shared" si="1"/>
        <v>14.418497982559202</v>
      </c>
      <c r="G20" s="204">
        <f t="shared" si="1"/>
        <v>14.82798155878719</v>
      </c>
      <c r="H20" s="204">
        <f t="shared" si="1"/>
        <v>15.268605065187176</v>
      </c>
      <c r="I20" s="200"/>
      <c r="J20" s="200"/>
      <c r="K20" s="200"/>
      <c r="L20" s="200"/>
    </row>
    <row r="21" spans="1:12" s="84" customFormat="1" ht="13" x14ac:dyDescent="0.3">
      <c r="A21" s="86"/>
      <c r="B21" s="125"/>
      <c r="C21" s="125">
        <f>C16+C19</f>
        <v>0</v>
      </c>
      <c r="D21" s="125">
        <f>D16+D19</f>
        <v>0</v>
      </c>
      <c r="E21" s="125">
        <f>D21-C21</f>
        <v>0</v>
      </c>
      <c r="F21" s="125"/>
      <c r="G21" s="125"/>
      <c r="H21" s="125"/>
      <c r="I21" s="200"/>
      <c r="J21" s="200"/>
      <c r="K21" s="200"/>
      <c r="L21" s="200"/>
    </row>
    <row r="22" spans="1:12" x14ac:dyDescent="0.25">
      <c r="A22" s="87" t="s">
        <v>56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71"/>
      <c r="J22" s="171"/>
      <c r="K22" s="171"/>
      <c r="L22" s="171"/>
    </row>
    <row r="23" spans="1:12" x14ac:dyDescent="0.25">
      <c r="A23" s="87" t="s">
        <v>57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71"/>
      <c r="J23" s="171"/>
      <c r="K23" s="171"/>
      <c r="L23" s="171"/>
    </row>
    <row r="24" spans="1:12" x14ac:dyDescent="0.25">
      <c r="A24" s="87" t="s">
        <v>58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71"/>
      <c r="J24" s="171"/>
      <c r="K24" s="171"/>
      <c r="L24" s="171"/>
    </row>
    <row r="25" spans="1:12" x14ac:dyDescent="0.25">
      <c r="A25" s="87" t="s">
        <v>59</v>
      </c>
      <c r="B25" s="180">
        <f>[3]Vieillesse!$H$201</f>
        <v>2581</v>
      </c>
      <c r="C25" s="180">
        <f>[3]Vieillesse!$I$201</f>
        <v>2534</v>
      </c>
      <c r="D25" s="180">
        <f>[3]Vieillesse!$R$201</f>
        <v>2556.7353621775192</v>
      </c>
      <c r="E25" s="180">
        <f>[3]Vieillesse!$W$201</f>
        <v>2534.7896192219009</v>
      </c>
      <c r="F25" s="180">
        <f>[3]Vieillesse!$AB$201</f>
        <v>2493.6866569722438</v>
      </c>
      <c r="G25" s="180">
        <f>[3]Vieillesse!$AG$201</f>
        <v>2454.9980355337752</v>
      </c>
      <c r="H25" s="180">
        <f>[3]Vieillesse!$AL$201</f>
        <v>2417.7342672838076</v>
      </c>
      <c r="I25" s="171" t="s">
        <v>127</v>
      </c>
      <c r="J25" s="171"/>
      <c r="K25" s="171"/>
      <c r="L25" s="171"/>
    </row>
    <row r="26" spans="1:12" ht="13" x14ac:dyDescent="0.3">
      <c r="A26" s="88" t="s">
        <v>60</v>
      </c>
      <c r="B26" s="127">
        <f>SUM(B22:B25)</f>
        <v>2581</v>
      </c>
      <c r="C26" s="127">
        <f t="shared" ref="C26:H26" si="2">SUM(C22:C25)</f>
        <v>2534</v>
      </c>
      <c r="D26" s="127">
        <f t="shared" si="2"/>
        <v>2556.7353621775192</v>
      </c>
      <c r="E26" s="127">
        <f t="shared" si="2"/>
        <v>2534.7896192219009</v>
      </c>
      <c r="F26" s="127">
        <f t="shared" si="2"/>
        <v>2493.6866569722438</v>
      </c>
      <c r="G26" s="127">
        <f t="shared" si="2"/>
        <v>2454.9980355337752</v>
      </c>
      <c r="H26" s="127">
        <f t="shared" si="2"/>
        <v>2417.7342672838076</v>
      </c>
      <c r="I26" s="171"/>
      <c r="J26" s="171"/>
      <c r="K26" s="171"/>
      <c r="L26" s="171"/>
    </row>
    <row r="27" spans="1:12" x14ac:dyDescent="0.25">
      <c r="A27" s="87"/>
      <c r="B27" s="126"/>
      <c r="C27" s="126"/>
      <c r="D27" s="126"/>
      <c r="E27" s="126"/>
      <c r="F27" s="126"/>
      <c r="G27" s="126"/>
      <c r="H27" s="126"/>
      <c r="I27" s="171"/>
      <c r="J27" s="171"/>
      <c r="K27" s="171"/>
      <c r="L27" s="171"/>
    </row>
    <row r="28" spans="1:12" x14ac:dyDescent="0.25">
      <c r="A28" s="89" t="s">
        <v>61</v>
      </c>
      <c r="B28" s="181">
        <f>[3]Maladie!$H$171</f>
        <v>144.41515444999999</v>
      </c>
      <c r="C28" s="181">
        <f>[3]Maladie!$I$171</f>
        <v>242.56274143000002</v>
      </c>
      <c r="D28" s="181">
        <f>[3]Maladie!$R$171</f>
        <v>187.84500828644178</v>
      </c>
      <c r="E28" s="181">
        <f>[3]Maladie!$W$171</f>
        <v>134.22442084724844</v>
      </c>
      <c r="F28" s="181">
        <f>[3]Maladie!$AB$171</f>
        <v>24.101226530321089</v>
      </c>
      <c r="G28" s="181">
        <f>[3]Maladie!$AG$171</f>
        <v>24.626988344039376</v>
      </c>
      <c r="H28" s="181">
        <f>[3]Maladie!$AL$171</f>
        <v>25.109595429320422</v>
      </c>
      <c r="I28" s="171" t="s">
        <v>127</v>
      </c>
      <c r="J28" s="171"/>
      <c r="K28" s="171"/>
      <c r="L28" s="171"/>
    </row>
    <row r="29" spans="1:12" x14ac:dyDescent="0.25">
      <c r="A29" s="89" t="s">
        <v>62</v>
      </c>
      <c r="B29" s="181">
        <f>[3]AT!$H$108</f>
        <v>19.77016519</v>
      </c>
      <c r="C29" s="181">
        <f>[3]AT!$I$108</f>
        <v>20.061831760000004</v>
      </c>
      <c r="D29" s="181">
        <f>[3]AT!$R$108</f>
        <v>23.192242922451491</v>
      </c>
      <c r="E29" s="181">
        <f>[3]AT!$W$108</f>
        <v>21.396500162666847</v>
      </c>
      <c r="F29" s="181">
        <f>[3]AT!$AB$108</f>
        <v>9.9807552017490959</v>
      </c>
      <c r="G29" s="181">
        <f>[3]AT!$AG$108</f>
        <v>10.244967248903221</v>
      </c>
      <c r="H29" s="181">
        <f>[3]AT!$AL$108</f>
        <v>10.483090917291454</v>
      </c>
      <c r="I29" s="171" t="s">
        <v>127</v>
      </c>
      <c r="J29" s="171"/>
      <c r="K29" s="171"/>
      <c r="L29" s="171"/>
    </row>
    <row r="30" spans="1:12" x14ac:dyDescent="0.25">
      <c r="A30" s="89" t="s">
        <v>63</v>
      </c>
      <c r="B30" s="181">
        <f>[3]Famille!$H$103</f>
        <v>66.702619279999993</v>
      </c>
      <c r="C30" s="181">
        <f>[3]Famille!$I$103</f>
        <v>68.938426239999998</v>
      </c>
      <c r="D30" s="181">
        <f>[3]Famille!$R$103</f>
        <v>81.424994193747111</v>
      </c>
      <c r="E30" s="181">
        <f>[3]Famille!$W$103</f>
        <v>69.230512154379326</v>
      </c>
      <c r="F30" s="181">
        <f>[3]Famille!$AB$103</f>
        <v>12.872717918312356</v>
      </c>
      <c r="G30" s="181">
        <f>[3]Famille!$AG$103</f>
        <v>13.168358922124687</v>
      </c>
      <c r="H30" s="181">
        <f>[3]Famille!$AL$103</f>
        <v>13.439410105350207</v>
      </c>
      <c r="I30" s="171" t="s">
        <v>127</v>
      </c>
      <c r="J30" s="171"/>
      <c r="K30" s="171"/>
      <c r="L30" s="171"/>
    </row>
    <row r="31" spans="1:12" x14ac:dyDescent="0.25">
      <c r="A31" s="89" t="s">
        <v>64</v>
      </c>
      <c r="B31" s="181">
        <f>[3]Vieillesse!$H$133</f>
        <v>221.46946525999999</v>
      </c>
      <c r="C31" s="181">
        <f>[3]Vieillesse!$I$133</f>
        <v>234.39204854000002</v>
      </c>
      <c r="D31" s="181">
        <f>[3]Vieillesse!$R$133</f>
        <v>261.92016890869081</v>
      </c>
      <c r="E31" s="181">
        <f>[3]Vieillesse!$W$133</f>
        <v>224.07428154356563</v>
      </c>
      <c r="F31" s="181">
        <f>[3]Vieillesse!$AB$133</f>
        <v>54.987082949380913</v>
      </c>
      <c r="G31" s="181">
        <f>[3]Vieillesse!$AG$133</f>
        <v>56.307925682616769</v>
      </c>
      <c r="H31" s="181">
        <f>[3]Vieillesse!$AL$133</f>
        <v>57.504304423102212</v>
      </c>
      <c r="I31" s="171" t="s">
        <v>127</v>
      </c>
      <c r="J31" s="171"/>
      <c r="K31" s="171"/>
      <c r="L31" s="171"/>
    </row>
    <row r="32" spans="1:12" ht="13" x14ac:dyDescent="0.3">
      <c r="A32" s="90" t="s">
        <v>65</v>
      </c>
      <c r="B32" s="129">
        <f>SUM(B28:B31)</f>
        <v>452.35740418</v>
      </c>
      <c r="C32" s="129">
        <f t="shared" ref="C32:H32" si="3">SUM(C28:C31)</f>
        <v>565.95504797000012</v>
      </c>
      <c r="D32" s="129">
        <f t="shared" si="3"/>
        <v>554.38241431133122</v>
      </c>
      <c r="E32" s="129">
        <f t="shared" si="3"/>
        <v>448.92571470786027</v>
      </c>
      <c r="F32" s="129">
        <f t="shared" si="3"/>
        <v>101.94178259976346</v>
      </c>
      <c r="G32" s="129">
        <f t="shared" si="3"/>
        <v>104.34824019768405</v>
      </c>
      <c r="H32" s="129">
        <f t="shared" si="3"/>
        <v>106.53640087506429</v>
      </c>
      <c r="I32" s="171"/>
      <c r="J32" s="171"/>
      <c r="K32" s="171"/>
      <c r="L32" s="171"/>
    </row>
    <row r="33" spans="1:12" x14ac:dyDescent="0.25">
      <c r="A33" s="89"/>
      <c r="B33" s="128"/>
      <c r="C33" s="128"/>
      <c r="D33" s="128"/>
      <c r="E33" s="128"/>
      <c r="F33" s="128"/>
      <c r="G33" s="128"/>
      <c r="H33" s="128"/>
      <c r="I33" s="171"/>
      <c r="J33" s="171"/>
      <c r="K33" s="171"/>
      <c r="L33" s="171"/>
    </row>
    <row r="34" spans="1:12" x14ac:dyDescent="0.25">
      <c r="A34" s="91" t="s">
        <v>66</v>
      </c>
      <c r="B34" s="206">
        <f>[3]Maladie!$H$190</f>
        <v>1366.74599455</v>
      </c>
      <c r="C34" s="206">
        <f>[3]Maladie!$I$190</f>
        <v>1368.8104355800001</v>
      </c>
      <c r="D34" s="206">
        <f>[3]Maladie!$R$190</f>
        <v>998.96209542993313</v>
      </c>
      <c r="E34" s="206">
        <f>[3]Maladie!$W$190</f>
        <v>1029.5353758151186</v>
      </c>
      <c r="F34" s="206">
        <f>[3]Maladie!$AB$190</f>
        <v>1059.0465876387032</v>
      </c>
      <c r="G34" s="206">
        <f>[3]Maladie!$AG$190</f>
        <v>1086.8383966747392</v>
      </c>
      <c r="H34" s="206">
        <f>[3]Maladie!$AL$190</f>
        <v>1111.8158698535597</v>
      </c>
      <c r="I34" s="171" t="s">
        <v>127</v>
      </c>
      <c r="J34" s="171"/>
      <c r="K34" s="171"/>
      <c r="L34" s="171"/>
    </row>
    <row r="35" spans="1:12" x14ac:dyDescent="0.25">
      <c r="A35" s="91" t="s">
        <v>67</v>
      </c>
      <c r="B35" s="130">
        <v>0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71"/>
      <c r="J35" s="171"/>
      <c r="K35" s="171"/>
      <c r="L35" s="171"/>
    </row>
    <row r="36" spans="1:12" x14ac:dyDescent="0.25">
      <c r="A36" s="91" t="s">
        <v>68</v>
      </c>
      <c r="B36" s="130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71"/>
      <c r="J36" s="171"/>
      <c r="K36" s="171"/>
      <c r="L36" s="171"/>
    </row>
    <row r="37" spans="1:12" x14ac:dyDescent="0.25">
      <c r="A37" s="91" t="s">
        <v>69</v>
      </c>
      <c r="B37" s="130">
        <v>0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71"/>
      <c r="J37" s="171"/>
      <c r="K37" s="171"/>
      <c r="L37" s="171"/>
    </row>
    <row r="38" spans="1:12" ht="13" x14ac:dyDescent="0.3">
      <c r="A38" s="92" t="s">
        <v>70</v>
      </c>
      <c r="B38" s="131">
        <f t="shared" ref="B38:H38" si="4">SUM(B34:B37)</f>
        <v>1366.74599455</v>
      </c>
      <c r="C38" s="131">
        <f>SUM(C34:C37)</f>
        <v>1368.8104355800001</v>
      </c>
      <c r="D38" s="131">
        <f t="shared" si="4"/>
        <v>998.96209542993313</v>
      </c>
      <c r="E38" s="131">
        <f t="shared" si="4"/>
        <v>1029.5353758151186</v>
      </c>
      <c r="F38" s="131">
        <f t="shared" si="4"/>
        <v>1059.0465876387032</v>
      </c>
      <c r="G38" s="131">
        <f t="shared" si="4"/>
        <v>1086.8383966747392</v>
      </c>
      <c r="H38" s="131">
        <f t="shared" si="4"/>
        <v>1111.8158698535597</v>
      </c>
      <c r="I38" s="171"/>
      <c r="J38" s="171"/>
      <c r="K38" s="171"/>
      <c r="L38" s="171"/>
    </row>
    <row r="39" spans="1:12" x14ac:dyDescent="0.25">
      <c r="B39" s="123"/>
      <c r="C39" s="123"/>
      <c r="D39" s="123"/>
      <c r="E39" s="123"/>
      <c r="F39" s="123"/>
      <c r="G39" s="123"/>
      <c r="H39" s="123"/>
      <c r="I39" s="171"/>
      <c r="J39" s="171"/>
      <c r="K39" s="171"/>
      <c r="L39" s="171"/>
    </row>
    <row r="40" spans="1:12" x14ac:dyDescent="0.25">
      <c r="A40" s="182" t="s">
        <v>132</v>
      </c>
      <c r="B40" s="207">
        <f>[3]Maladie!$H$267</f>
        <v>340.83181102000003</v>
      </c>
      <c r="C40" s="207">
        <f>[3]Maladie!$I$267</f>
        <v>357.59730421</v>
      </c>
      <c r="D40" s="207">
        <f>[3]Maladie!$R$267</f>
        <v>395.29473443347212</v>
      </c>
      <c r="E40" s="207">
        <f>[3]Maladie!$W$267</f>
        <v>419.83690379210736</v>
      </c>
      <c r="F40" s="207">
        <f>[3]Maladie!$AB$267</f>
        <v>425.17495137969644</v>
      </c>
      <c r="G40" s="207">
        <f>[3]Maladie!$AG$267</f>
        <v>439.56754057235332</v>
      </c>
      <c r="H40" s="207">
        <f>[3]Maladie!$AL$267</f>
        <v>452.87587498363843</v>
      </c>
      <c r="I40" s="171" t="s">
        <v>127</v>
      </c>
      <c r="J40" s="171"/>
      <c r="K40" s="171"/>
      <c r="L40" s="171"/>
    </row>
    <row r="41" spans="1:12" x14ac:dyDescent="0.25">
      <c r="A41" s="182" t="s">
        <v>128</v>
      </c>
      <c r="B41" s="207">
        <f>[3]AT!$H$219</f>
        <v>87.789099059999998</v>
      </c>
      <c r="C41" s="207">
        <f>[3]AT!$I$219</f>
        <v>91.952294359999996</v>
      </c>
      <c r="D41" s="207">
        <f>[3]AT!$R$219</f>
        <v>89.599535850000009</v>
      </c>
      <c r="E41" s="207">
        <f>[3]AT!$W$219</f>
        <v>90.582950775887085</v>
      </c>
      <c r="F41" s="207">
        <f>[3]AT!$AB$219</f>
        <v>94.393161853327882</v>
      </c>
      <c r="G41" s="207">
        <f>[3]AT!$AG$219</f>
        <v>97.312086035027633</v>
      </c>
      <c r="H41" s="207">
        <f>[3]AT!$AL$219</f>
        <v>98.745499069047654</v>
      </c>
      <c r="I41" s="171" t="s">
        <v>127</v>
      </c>
      <c r="J41" s="171"/>
      <c r="K41" s="171"/>
      <c r="L41" s="171"/>
    </row>
    <row r="42" spans="1:12" x14ac:dyDescent="0.25">
      <c r="A42" s="182" t="s">
        <v>129</v>
      </c>
      <c r="B42" s="207">
        <f>[3]Famille!$H$180</f>
        <v>77.506083009999998</v>
      </c>
      <c r="C42" s="207">
        <f>[3]Famille!$I$180</f>
        <v>78.128998980000006</v>
      </c>
      <c r="D42" s="207">
        <f>[3]Famille!$R$180</f>
        <v>82.129702340000009</v>
      </c>
      <c r="E42" s="207">
        <f>[3]Famille!$W$180</f>
        <v>79.624833510359025</v>
      </c>
      <c r="F42" s="207">
        <f>[3]Famille!$AB$180</f>
        <v>83.754193575256835</v>
      </c>
      <c r="G42" s="207">
        <f>[3]Famille!$AG$180</f>
        <v>85.037203059909586</v>
      </c>
      <c r="H42" s="207">
        <f>[3]Famille!$AL$180</f>
        <v>86.275893122289887</v>
      </c>
      <c r="I42" s="171" t="s">
        <v>127</v>
      </c>
      <c r="J42" s="171"/>
      <c r="K42" s="171"/>
      <c r="L42" s="171"/>
    </row>
    <row r="43" spans="1:12" x14ac:dyDescent="0.25">
      <c r="A43" s="182" t="s">
        <v>130</v>
      </c>
      <c r="B43" s="207">
        <f>[3]Vieillesse!$H$228</f>
        <v>182.80554420999999</v>
      </c>
      <c r="C43" s="207">
        <f>[3]Vieillesse!$I$228</f>
        <v>191.43262465999999</v>
      </c>
      <c r="D43" s="207">
        <f>[3]Vieillesse!$R$228</f>
        <v>191.33872616000002</v>
      </c>
      <c r="E43" s="207">
        <f>[3]Vieillesse!$W$228</f>
        <v>192.01219481841611</v>
      </c>
      <c r="F43" s="207">
        <f>[3]Vieillesse!$AB$228</f>
        <v>201.29527546384347</v>
      </c>
      <c r="G43" s="207">
        <f>[3]Vieillesse!$AG$228</f>
        <v>207.39227995512465</v>
      </c>
      <c r="H43" s="207">
        <f>[3]Vieillesse!$AL$228</f>
        <v>213.20372443329916</v>
      </c>
      <c r="I43" s="171" t="s">
        <v>127</v>
      </c>
      <c r="J43" s="171"/>
      <c r="K43" s="171"/>
      <c r="L43" s="171"/>
    </row>
    <row r="44" spans="1:12" ht="13" x14ac:dyDescent="0.3">
      <c r="A44" s="183" t="s">
        <v>131</v>
      </c>
      <c r="B44" s="184">
        <f t="shared" ref="B44:G44" si="5">SUM(B40:B43)</f>
        <v>688.93253730000004</v>
      </c>
      <c r="C44" s="184">
        <f t="shared" si="5"/>
        <v>719.11122220999994</v>
      </c>
      <c r="D44" s="184">
        <f t="shared" si="5"/>
        <v>758.36269878347207</v>
      </c>
      <c r="E44" s="184">
        <f t="shared" si="5"/>
        <v>782.05688289676959</v>
      </c>
      <c r="F44" s="184">
        <f t="shared" si="5"/>
        <v>804.61758227212465</v>
      </c>
      <c r="G44" s="184">
        <f t="shared" si="5"/>
        <v>829.30910962241524</v>
      </c>
      <c r="H44" s="184">
        <f>SUM(H40:H43)</f>
        <v>851.10099160827508</v>
      </c>
      <c r="I44" s="171"/>
      <c r="J44" s="171"/>
      <c r="K44" s="171"/>
      <c r="L44" s="171"/>
    </row>
    <row r="45" spans="1:12" x14ac:dyDescent="0.25">
      <c r="B45" s="123"/>
      <c r="C45" s="123"/>
      <c r="D45" s="123"/>
      <c r="E45" s="123"/>
      <c r="F45" s="123"/>
      <c r="G45" s="123"/>
      <c r="H45" s="123"/>
      <c r="I45" s="171"/>
      <c r="J45" s="171"/>
      <c r="K45" s="171"/>
      <c r="L45" s="171"/>
    </row>
    <row r="46" spans="1:12" x14ac:dyDescent="0.25">
      <c r="A46" s="182" t="s">
        <v>142</v>
      </c>
      <c r="B46" s="185">
        <f>'[3]Prev Cot Exo'!$L$19</f>
        <v>302.70331995000004</v>
      </c>
      <c r="C46" s="185">
        <f>'[3]Prev Cot Exo'!$M$19</f>
        <v>296.38332237999998</v>
      </c>
      <c r="D46" s="185">
        <f>'[3]Prev Cot Exo'!$N$19</f>
        <v>302.90510535335528</v>
      </c>
      <c r="E46" s="185">
        <f>'[3]Prev Cot Exo'!$O$19</f>
        <v>312.19947202732885</v>
      </c>
      <c r="F46" s="185">
        <f>'[3]Prev Cot Exo'!$P$19</f>
        <v>407.07870692245967</v>
      </c>
      <c r="G46" s="185">
        <f>'[3]Prev Cot Exo'!$Q$19</f>
        <v>417.8549554462175</v>
      </c>
      <c r="H46" s="185">
        <f>'[3]Prev Cot Exo'!$R$19</f>
        <v>427.56715387766747</v>
      </c>
      <c r="I46" s="171" t="s">
        <v>127</v>
      </c>
      <c r="J46" s="171"/>
      <c r="K46" s="171"/>
      <c r="L46" s="171"/>
    </row>
    <row r="47" spans="1:12" x14ac:dyDescent="0.25">
      <c r="A47" s="182" t="s">
        <v>143</v>
      </c>
      <c r="B47" s="185">
        <f>'[3]Prev Cot Exo'!$L$40</f>
        <v>2.3358474999999994</v>
      </c>
      <c r="C47" s="185">
        <f>'[3]Prev Cot Exo'!$M$40</f>
        <v>2.3486185999999956</v>
      </c>
      <c r="D47" s="185">
        <f>'[3]Prev Cot Exo'!$N$40</f>
        <v>2.404769206918365</v>
      </c>
      <c r="E47" s="185">
        <f>'[3]Prev Cot Exo'!$O$40</f>
        <v>2.4785573550227245</v>
      </c>
      <c r="F47" s="185">
        <f>'[3]Prev Cot Exo'!$P$40</f>
        <v>3.2318151169400084</v>
      </c>
      <c r="G47" s="185">
        <f>'[3]Prev Cot Exo'!$Q$40</f>
        <v>3.3173682109504421</v>
      </c>
      <c r="H47" s="185">
        <f>'[3]Prev Cot Exo'!$R$40</f>
        <v>3.3944737661556665</v>
      </c>
      <c r="I47" s="171" t="s">
        <v>127</v>
      </c>
      <c r="J47" s="171"/>
      <c r="K47" s="171"/>
      <c r="L47" s="171"/>
    </row>
    <row r="48" spans="1:12" x14ac:dyDescent="0.25">
      <c r="A48" s="182" t="s">
        <v>144</v>
      </c>
      <c r="B48" s="185">
        <f>'[3]Prev Cot Exo'!$L$28</f>
        <v>148.50920520000005</v>
      </c>
      <c r="C48" s="185">
        <f>'[3]Prev Cot Exo'!$M$28</f>
        <v>146.99533778</v>
      </c>
      <c r="D48" s="185">
        <f>'[3]Prev Cot Exo'!$N$28</f>
        <v>149.99106978088406</v>
      </c>
      <c r="E48" s="185">
        <f>'[3]Prev Cot Exo'!$O$28</f>
        <v>154.5934088492165</v>
      </c>
      <c r="F48" s="185">
        <f>'[3]Prev Cot Exo'!$P$28</f>
        <v>201.57524471266677</v>
      </c>
      <c r="G48" s="185">
        <f>'[3]Prev Cot Exo'!$Q$28</f>
        <v>206.91137479346406</v>
      </c>
      <c r="H48" s="185">
        <f>'[3]Prev Cot Exo'!$R$28</f>
        <v>211.72061374953262</v>
      </c>
      <c r="I48" s="171" t="s">
        <v>127</v>
      </c>
      <c r="J48" s="171"/>
      <c r="K48" s="171"/>
      <c r="L48" s="171"/>
    </row>
    <row r="49" spans="1:12" x14ac:dyDescent="0.25">
      <c r="A49" s="182" t="s">
        <v>145</v>
      </c>
      <c r="B49" s="185">
        <f>'[3]Prev Cot Exo'!$L$10</f>
        <v>449.0095908400001</v>
      </c>
      <c r="C49" s="185">
        <f>'[3]Prev Cot Exo'!$M$10</f>
        <v>444.33721217000021</v>
      </c>
      <c r="D49" s="185">
        <f>'[3]Prev Cot Exo'!$N$10</f>
        <v>454.12259434749268</v>
      </c>
      <c r="E49" s="185">
        <f>'[3]Prev Cot Exo'!$O$10</f>
        <v>468.05693164391425</v>
      </c>
      <c r="F49" s="185">
        <f>'[3]Prev Cot Exo'!$P$10</f>
        <v>610.30215478077378</v>
      </c>
      <c r="G49" s="185">
        <f>'[3]Prev Cot Exo'!$Q$10</f>
        <v>626.45816486595675</v>
      </c>
      <c r="H49" s="185">
        <f>'[3]Prev Cot Exo'!$R$10</f>
        <v>641.01892554829192</v>
      </c>
      <c r="I49" s="171" t="s">
        <v>127</v>
      </c>
      <c r="J49" s="171"/>
      <c r="K49" s="171"/>
      <c r="L49" s="171"/>
    </row>
    <row r="50" spans="1:12" ht="13" x14ac:dyDescent="0.3">
      <c r="A50" s="183" t="s">
        <v>146</v>
      </c>
      <c r="B50" s="184">
        <f>SUM(B46:B49)</f>
        <v>902.55796349000025</v>
      </c>
      <c r="C50" s="184">
        <f t="shared" ref="C50:H50" si="6">SUM(C46:C49)</f>
        <v>890.06449093000015</v>
      </c>
      <c r="D50" s="184">
        <f t="shared" si="6"/>
        <v>909.42353868865041</v>
      </c>
      <c r="E50" s="184">
        <f t="shared" si="6"/>
        <v>937.32836987548228</v>
      </c>
      <c r="F50" s="184">
        <f t="shared" si="6"/>
        <v>1222.1879215328404</v>
      </c>
      <c r="G50" s="184">
        <f t="shared" si="6"/>
        <v>1254.5418633165887</v>
      </c>
      <c r="H50" s="184">
        <f t="shared" si="6"/>
        <v>1283.7011669416477</v>
      </c>
      <c r="I50" s="171"/>
      <c r="J50" s="171"/>
      <c r="K50" s="171"/>
      <c r="L50" s="171"/>
    </row>
    <row r="51" spans="1:12" x14ac:dyDescent="0.25">
      <c r="B51" s="123"/>
      <c r="C51" s="123"/>
      <c r="D51" s="123"/>
      <c r="E51" s="123"/>
      <c r="F51" s="123"/>
      <c r="G51" s="123"/>
      <c r="H51" s="123"/>
    </row>
    <row r="52" spans="1:12" x14ac:dyDescent="0.25">
      <c r="B52" s="123"/>
      <c r="C52" s="123"/>
      <c r="D52" s="123"/>
      <c r="E52" s="123"/>
      <c r="F52" s="123"/>
      <c r="G52" s="123"/>
      <c r="H52" s="123"/>
    </row>
    <row r="53" spans="1:12" x14ac:dyDescent="0.25">
      <c r="B53" s="123"/>
      <c r="C53" s="123"/>
      <c r="D53" s="123"/>
      <c r="E53" s="123"/>
      <c r="F53" s="123"/>
      <c r="G53" s="123"/>
      <c r="H53" s="123"/>
    </row>
    <row r="54" spans="1:12" x14ac:dyDescent="0.25">
      <c r="B54" s="123"/>
      <c r="C54" s="123"/>
      <c r="D54" s="123"/>
      <c r="E54" s="123"/>
      <c r="F54" s="123"/>
      <c r="G54" s="123"/>
      <c r="H54" s="123"/>
    </row>
    <row r="55" spans="1:12" x14ac:dyDescent="0.25">
      <c r="B55" s="123"/>
      <c r="C55" s="123"/>
      <c r="D55" s="123"/>
      <c r="E55" s="123"/>
      <c r="F55" s="123"/>
      <c r="G55" s="123"/>
      <c r="H55" s="123"/>
    </row>
    <row r="56" spans="1:12" x14ac:dyDescent="0.25">
      <c r="B56" s="123"/>
      <c r="C56" s="123"/>
      <c r="D56" s="123"/>
      <c r="E56" s="123"/>
      <c r="F56" s="123"/>
      <c r="G56" s="123"/>
      <c r="H56" s="123"/>
    </row>
    <row r="57" spans="1:12" x14ac:dyDescent="0.25">
      <c r="B57" s="123"/>
      <c r="C57" s="123"/>
      <c r="D57" s="123"/>
      <c r="E57" s="123"/>
      <c r="F57" s="123"/>
      <c r="G57" s="123"/>
      <c r="H57" s="123"/>
    </row>
    <row r="58" spans="1:12" x14ac:dyDescent="0.25">
      <c r="B58" s="123"/>
      <c r="C58" s="123"/>
      <c r="D58" s="123"/>
      <c r="E58" s="123"/>
      <c r="F58" s="123"/>
      <c r="G58" s="123"/>
      <c r="H58" s="123"/>
    </row>
    <row r="59" spans="1:12" x14ac:dyDescent="0.25">
      <c r="B59" s="123"/>
      <c r="C59" s="123"/>
      <c r="D59" s="123"/>
      <c r="E59" s="123"/>
      <c r="F59" s="123"/>
      <c r="G59" s="123"/>
      <c r="H59" s="123"/>
    </row>
    <row r="60" spans="1:12" x14ac:dyDescent="0.25">
      <c r="B60" s="123"/>
      <c r="C60" s="123"/>
      <c r="D60" s="123"/>
      <c r="E60" s="123"/>
      <c r="F60" s="123"/>
      <c r="G60" s="123"/>
      <c r="H60" s="123"/>
    </row>
    <row r="61" spans="1:12" x14ac:dyDescent="0.25">
      <c r="B61" s="123"/>
      <c r="C61" s="123"/>
      <c r="D61" s="123"/>
      <c r="E61" s="123"/>
      <c r="F61" s="123"/>
      <c r="G61" s="123"/>
      <c r="H61" s="123"/>
    </row>
    <row r="62" spans="1:12" x14ac:dyDescent="0.25">
      <c r="B62" s="123"/>
      <c r="C62" s="123"/>
      <c r="D62" s="123"/>
      <c r="E62" s="123"/>
      <c r="F62" s="123"/>
      <c r="G62" s="123"/>
      <c r="H62" s="123"/>
    </row>
    <row r="63" spans="1:12" x14ac:dyDescent="0.25">
      <c r="B63" s="123"/>
      <c r="C63" s="123"/>
      <c r="D63" s="123"/>
      <c r="E63" s="123"/>
      <c r="F63" s="123"/>
      <c r="G63" s="123"/>
      <c r="H63" s="123"/>
    </row>
    <row r="64" spans="1:12" x14ac:dyDescent="0.25">
      <c r="B64" s="123"/>
      <c r="C64" s="123"/>
      <c r="D64" s="123"/>
      <c r="E64" s="123"/>
      <c r="F64" s="123"/>
      <c r="G64" s="123"/>
      <c r="H64" s="123"/>
    </row>
    <row r="65" spans="2:8" x14ac:dyDescent="0.25">
      <c r="B65" s="123"/>
      <c r="C65" s="123"/>
      <c r="D65" s="123"/>
      <c r="E65" s="123"/>
      <c r="F65" s="123"/>
      <c r="G65" s="123"/>
      <c r="H65" s="123"/>
    </row>
    <row r="66" spans="2:8" x14ac:dyDescent="0.25">
      <c r="B66" s="123"/>
      <c r="C66" s="123"/>
      <c r="D66" s="123"/>
      <c r="E66" s="123"/>
      <c r="F66" s="123"/>
      <c r="G66" s="123"/>
      <c r="H66" s="123"/>
    </row>
    <row r="67" spans="2:8" x14ac:dyDescent="0.25">
      <c r="B67" s="123"/>
      <c r="C67" s="123"/>
      <c r="D67" s="123"/>
      <c r="E67" s="123"/>
      <c r="F67" s="123"/>
      <c r="G67" s="123"/>
      <c r="H67" s="123"/>
    </row>
    <row r="68" spans="2:8" x14ac:dyDescent="0.25">
      <c r="B68" s="123"/>
      <c r="C68" s="123"/>
      <c r="D68" s="123"/>
      <c r="E68" s="123"/>
      <c r="F68" s="123"/>
      <c r="G68" s="123"/>
      <c r="H68" s="123"/>
    </row>
    <row r="69" spans="2:8" x14ac:dyDescent="0.25">
      <c r="B69" s="123"/>
      <c r="C69" s="123"/>
      <c r="D69" s="123"/>
      <c r="E69" s="123"/>
      <c r="F69" s="123"/>
      <c r="G69" s="123"/>
      <c r="H69" s="123"/>
    </row>
    <row r="70" spans="2:8" x14ac:dyDescent="0.25">
      <c r="B70" s="123"/>
      <c r="C70" s="123"/>
      <c r="D70" s="123"/>
      <c r="E70" s="123"/>
      <c r="F70" s="123"/>
      <c r="G70" s="123"/>
      <c r="H70" s="123"/>
    </row>
    <row r="71" spans="2:8" x14ac:dyDescent="0.25">
      <c r="B71" s="123"/>
      <c r="C71" s="123"/>
      <c r="D71" s="123"/>
      <c r="E71" s="123"/>
      <c r="F71" s="123"/>
      <c r="G71" s="123"/>
      <c r="H71" s="123"/>
    </row>
    <row r="72" spans="2:8" x14ac:dyDescent="0.25">
      <c r="B72" s="123"/>
      <c r="C72" s="123"/>
      <c r="D72" s="123"/>
      <c r="E72" s="123"/>
      <c r="F72" s="123"/>
      <c r="G72" s="123"/>
      <c r="H72" s="123"/>
    </row>
    <row r="73" spans="2:8" x14ac:dyDescent="0.25">
      <c r="B73" s="123"/>
      <c r="C73" s="123"/>
      <c r="D73" s="123"/>
      <c r="E73" s="123"/>
      <c r="F73" s="123"/>
      <c r="G73" s="123"/>
      <c r="H73" s="123"/>
    </row>
    <row r="74" spans="2:8" x14ac:dyDescent="0.25">
      <c r="B74" s="123"/>
      <c r="C74" s="123"/>
      <c r="D74" s="123"/>
      <c r="E74" s="123"/>
      <c r="F74" s="123"/>
      <c r="G74" s="123"/>
      <c r="H74" s="123"/>
    </row>
    <row r="75" spans="2:8" x14ac:dyDescent="0.25">
      <c r="B75" s="123"/>
      <c r="C75" s="123"/>
      <c r="D75" s="123"/>
      <c r="E75" s="123"/>
      <c r="F75" s="123"/>
      <c r="G75" s="123"/>
      <c r="H75" s="123"/>
    </row>
    <row r="76" spans="2:8" x14ac:dyDescent="0.25">
      <c r="B76" s="123"/>
      <c r="C76" s="123"/>
      <c r="D76" s="123"/>
      <c r="E76" s="123"/>
      <c r="F76" s="123"/>
      <c r="G76" s="123"/>
      <c r="H76" s="123"/>
    </row>
    <row r="77" spans="2:8" x14ac:dyDescent="0.25">
      <c r="B77" s="123"/>
      <c r="C77" s="123"/>
      <c r="D77" s="123"/>
      <c r="E77" s="123"/>
      <c r="F77" s="123"/>
      <c r="G77" s="123"/>
      <c r="H77" s="123"/>
    </row>
    <row r="78" spans="2:8" x14ac:dyDescent="0.25">
      <c r="B78" s="123"/>
      <c r="C78" s="123"/>
      <c r="D78" s="123"/>
      <c r="E78" s="123"/>
      <c r="F78" s="123"/>
      <c r="G78" s="123"/>
      <c r="H78" s="123"/>
    </row>
    <row r="79" spans="2:8" x14ac:dyDescent="0.25">
      <c r="B79" s="123"/>
      <c r="C79" s="123"/>
      <c r="D79" s="123"/>
      <c r="E79" s="123"/>
      <c r="F79" s="123"/>
      <c r="G79" s="123"/>
      <c r="H79" s="123"/>
    </row>
    <row r="80" spans="2:8" x14ac:dyDescent="0.25">
      <c r="B80" s="123"/>
      <c r="C80" s="123"/>
      <c r="D80" s="123"/>
      <c r="E80" s="123"/>
      <c r="F80" s="123"/>
      <c r="G80" s="123"/>
      <c r="H80" s="123"/>
    </row>
    <row r="81" spans="2:8" x14ac:dyDescent="0.25">
      <c r="B81" s="123"/>
      <c r="C81" s="123"/>
      <c r="D81" s="123"/>
      <c r="E81" s="123"/>
      <c r="F81" s="123"/>
      <c r="G81" s="123"/>
      <c r="H81" s="123"/>
    </row>
    <row r="82" spans="2:8" x14ac:dyDescent="0.25">
      <c r="B82" s="123"/>
      <c r="C82" s="123"/>
      <c r="D82" s="123"/>
      <c r="E82" s="123"/>
      <c r="F82" s="123"/>
      <c r="G82" s="123"/>
      <c r="H82" s="123"/>
    </row>
    <row r="83" spans="2:8" x14ac:dyDescent="0.25">
      <c r="B83" s="123"/>
      <c r="C83" s="123"/>
      <c r="D83" s="123"/>
      <c r="E83" s="123"/>
      <c r="F83" s="123"/>
      <c r="G83" s="123"/>
      <c r="H83" s="123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="90" zoomScaleNormal="90" workbookViewId="0"/>
  </sheetViews>
  <sheetFormatPr baseColWidth="10" defaultRowHeight="12.5" x14ac:dyDescent="0.25"/>
  <cols>
    <col min="1" max="1" width="34.26953125" customWidth="1"/>
    <col min="8" max="8" width="20.1796875" bestFit="1" customWidth="1"/>
    <col min="9" max="9" width="11.453125" style="94"/>
  </cols>
  <sheetData>
    <row r="1" spans="1:12" ht="39" x14ac:dyDescent="0.25">
      <c r="A1" s="93" t="s">
        <v>95</v>
      </c>
      <c r="B1" s="208">
        <f>TableauxNote!C4</f>
        <v>2019</v>
      </c>
      <c r="C1" s="208">
        <f>TableauxNote!D4</f>
        <v>2020</v>
      </c>
      <c r="D1" s="208" t="str">
        <f>TableauxNote!E4</f>
        <v>2021(p)</v>
      </c>
      <c r="E1" s="208" t="str">
        <f>TableauxNote!F4</f>
        <v>2022(p)</v>
      </c>
      <c r="F1" s="208" t="str">
        <f>TableauxNote!G4</f>
        <v>2023(p)</v>
      </c>
      <c r="G1" s="208" t="str">
        <f>TableauxNote!H4</f>
        <v>2024(p)</v>
      </c>
      <c r="H1" s="208" t="str">
        <f>TableauxNote!I4</f>
        <v>2025(p)</v>
      </c>
      <c r="I1"/>
    </row>
    <row r="2" spans="1:12" ht="13" x14ac:dyDescent="0.3">
      <c r="A2" s="95" t="s">
        <v>71</v>
      </c>
      <c r="B2" s="96">
        <f>'Détail CHG PDT'!B6</f>
        <v>14784.025856220003</v>
      </c>
      <c r="C2" s="472">
        <f>'Détail CHG PDT'!C6</f>
        <v>15253.660871410004</v>
      </c>
      <c r="D2" s="96">
        <f>'Détail CHG PDT'!D6</f>
        <v>14070.993409051473</v>
      </c>
      <c r="E2" s="96">
        <f>'Détail CHG PDT'!E6</f>
        <v>13923.703677066853</v>
      </c>
      <c r="F2" s="96">
        <f>'Détail CHG PDT'!F6</f>
        <v>14197.508653562416</v>
      </c>
      <c r="G2" s="96">
        <f>'Détail CHG PDT'!G6</f>
        <v>14550.742881084348</v>
      </c>
      <c r="H2" s="96">
        <f>'Détail CHG PDT'!H6</f>
        <v>14926.922697868513</v>
      </c>
      <c r="I2"/>
    </row>
    <row r="3" spans="1:12" x14ac:dyDescent="0.25">
      <c r="A3" s="485" t="s">
        <v>72</v>
      </c>
      <c r="B3" s="227">
        <f>TableauxNote!C42</f>
        <v>11974.763930610001</v>
      </c>
      <c r="C3" s="227">
        <f>TableauxNote!D42</f>
        <v>12357.206363860001</v>
      </c>
      <c r="D3" s="227">
        <f>TableauxNote!E42</f>
        <v>12003.470197064213</v>
      </c>
      <c r="E3" s="227">
        <f>TableauxNote!F42</f>
        <v>11977.531788956327</v>
      </c>
      <c r="F3" s="227">
        <f>TableauxNote!G42</f>
        <v>12279.561353364454</v>
      </c>
      <c r="G3" s="227">
        <f>TableauxNote!H42</f>
        <v>12610.6457525162</v>
      </c>
      <c r="H3" s="227">
        <f>TableauxNote!I42</f>
        <v>12968.531961815399</v>
      </c>
      <c r="I3"/>
      <c r="L3" s="186" t="s">
        <v>226</v>
      </c>
    </row>
    <row r="4" spans="1:12" ht="13" x14ac:dyDescent="0.3">
      <c r="A4" s="520" t="s">
        <v>73</v>
      </c>
      <c r="B4" s="96">
        <f>'Détail CHG PDT'!B13</f>
        <v>14816.211346280001</v>
      </c>
      <c r="C4" s="516">
        <f>'Détail CHG PDT'!C13</f>
        <v>15305.066227300002</v>
      </c>
      <c r="D4" s="516">
        <f>'Détail CHG PDT'!D13</f>
        <v>14098.776949204741</v>
      </c>
      <c r="E4" s="226">
        <f>'Détail CHG PDT'!E13</f>
        <v>13962.723014627816</v>
      </c>
      <c r="F4" s="226">
        <f>'Détail CHG PDT'!F13</f>
        <v>14238.889716063788</v>
      </c>
      <c r="G4" s="226">
        <f>'Détail CHG PDT'!G13</f>
        <v>14594.44379721615</v>
      </c>
      <c r="H4" s="226">
        <f>'Détail CHG PDT'!H13</f>
        <v>14972.947287798665</v>
      </c>
      <c r="I4"/>
    </row>
    <row r="5" spans="1:12" x14ac:dyDescent="0.25">
      <c r="A5" s="521" t="s">
        <v>74</v>
      </c>
      <c r="B5" s="98">
        <f>TableauxNote!C48</f>
        <v>5757.9611719300001</v>
      </c>
      <c r="C5" s="517">
        <f>TableauxNote!D48</f>
        <v>5435.20399499</v>
      </c>
      <c r="D5" s="517">
        <f>TableauxNote!E48</f>
        <v>5389.2367088990131</v>
      </c>
      <c r="E5" s="227">
        <f>TableauxNote!F48</f>
        <v>5727.2087312081667</v>
      </c>
      <c r="F5" s="227">
        <f>TableauxNote!G48</f>
        <v>5926.2112505156292</v>
      </c>
      <c r="G5" s="227">
        <f>TableauxNote!H48</f>
        <v>6076.5836759079357</v>
      </c>
      <c r="H5" s="227">
        <f>TableauxNote!I48</f>
        <v>6214.743556976623</v>
      </c>
      <c r="I5"/>
    </row>
    <row r="6" spans="1:12" x14ac:dyDescent="0.25">
      <c r="A6" s="521" t="s">
        <v>75</v>
      </c>
      <c r="B6" s="98">
        <f>'Détail CHG PDT'!B26</f>
        <v>2581</v>
      </c>
      <c r="C6" s="517">
        <f>'Détail CHG PDT'!C26</f>
        <v>2534</v>
      </c>
      <c r="D6" s="517">
        <f>'Détail CHG PDT'!D26</f>
        <v>2556.7353621775192</v>
      </c>
      <c r="E6" s="227">
        <f>'Détail CHG PDT'!E26</f>
        <v>2534.7896192219009</v>
      </c>
      <c r="F6" s="227">
        <f>'Détail CHG PDT'!F26</f>
        <v>2493.6866569722438</v>
      </c>
      <c r="G6" s="227">
        <f>'Détail CHG PDT'!G26</f>
        <v>2454.9980355337752</v>
      </c>
      <c r="H6" s="227">
        <f>'Détail CHG PDT'!H26</f>
        <v>2417.7342672838076</v>
      </c>
      <c r="I6"/>
    </row>
    <row r="7" spans="1:12" x14ac:dyDescent="0.25">
      <c r="A7" s="521" t="s">
        <v>76</v>
      </c>
      <c r="B7" s="98">
        <f>'Détail CHG PDT'!B38</f>
        <v>1366.74599455</v>
      </c>
      <c r="C7" s="517">
        <f>'Détail CHG PDT'!C38</f>
        <v>1368.8104355800001</v>
      </c>
      <c r="D7" s="517">
        <f>'Détail CHG PDT'!D38</f>
        <v>998.96209542993313</v>
      </c>
      <c r="E7" s="227">
        <f>'Détail CHG PDT'!E38</f>
        <v>1029.5353758151186</v>
      </c>
      <c r="F7" s="227">
        <f>'Détail CHG PDT'!F38</f>
        <v>1059.0465876387032</v>
      </c>
      <c r="G7" s="227">
        <f>'Détail CHG PDT'!G38</f>
        <v>1086.8383966747392</v>
      </c>
      <c r="H7" s="227">
        <f>'Détail CHG PDT'!H38</f>
        <v>1111.8158698535597</v>
      </c>
      <c r="I7"/>
    </row>
    <row r="8" spans="1:12" x14ac:dyDescent="0.25">
      <c r="A8" s="521" t="s">
        <v>77</v>
      </c>
      <c r="B8" s="98">
        <f>'Détail CHG PDT'!B20</f>
        <v>0</v>
      </c>
      <c r="C8" s="517">
        <f>'Détail CHG PDT'!C20</f>
        <v>12.164656880000001</v>
      </c>
      <c r="D8" s="517">
        <f>'Détail CHG PDT'!D20</f>
        <v>14</v>
      </c>
      <c r="E8" s="227">
        <f>'Détail CHG PDT'!E20</f>
        <v>14</v>
      </c>
      <c r="F8" s="227">
        <f>'Détail CHG PDT'!F20</f>
        <v>14.418497982559202</v>
      </c>
      <c r="G8" s="227">
        <f>'Détail CHG PDT'!G20</f>
        <v>14.82798155878719</v>
      </c>
      <c r="H8" s="227">
        <f>'Détail CHG PDT'!H20</f>
        <v>15.268605065187176</v>
      </c>
      <c r="I8"/>
    </row>
    <row r="9" spans="1:12" x14ac:dyDescent="0.25">
      <c r="A9" s="485" t="s">
        <v>141</v>
      </c>
      <c r="B9" s="227">
        <f>'Détail CHG PDT'!B32</f>
        <v>452.35740418</v>
      </c>
      <c r="C9" s="227">
        <f>'Détail CHG PDT'!C32</f>
        <v>565.95504797000012</v>
      </c>
      <c r="D9" s="227">
        <f>'Détail CHG PDT'!D32</f>
        <v>554.38241431133122</v>
      </c>
      <c r="E9" s="98">
        <f>'Détail CHG PDT'!E32</f>
        <v>448.92571470786027</v>
      </c>
      <c r="F9" s="98">
        <f>'Détail CHG PDT'!F32</f>
        <v>101.94178259976346</v>
      </c>
      <c r="G9" s="98">
        <f>'Détail CHG PDT'!G32</f>
        <v>104.34824019768405</v>
      </c>
      <c r="H9" s="98">
        <f>'Détail CHG PDT'!H32</f>
        <v>106.53640087506429</v>
      </c>
      <c r="I9"/>
    </row>
    <row r="10" spans="1:12" x14ac:dyDescent="0.25">
      <c r="A10" s="485" t="s">
        <v>135</v>
      </c>
      <c r="B10" s="227">
        <f>'Détail CHG PDT'!B44</f>
        <v>688.93253730000004</v>
      </c>
      <c r="C10" s="227">
        <f>'Détail CHG PDT'!C44</f>
        <v>719.11122220999994</v>
      </c>
      <c r="D10" s="227">
        <f>'Détail CHG PDT'!D44</f>
        <v>758.36269878347207</v>
      </c>
      <c r="E10" s="98">
        <f>'Détail CHG PDT'!E44</f>
        <v>782.05688289676959</v>
      </c>
      <c r="F10" s="98">
        <f>'Détail CHG PDT'!F44</f>
        <v>804.61758227212465</v>
      </c>
      <c r="G10" s="98">
        <f>'Détail CHG PDT'!G44</f>
        <v>829.30910962241524</v>
      </c>
      <c r="H10" s="98">
        <f>'Détail CHG PDT'!H44</f>
        <v>851.10099160827508</v>
      </c>
      <c r="I10"/>
    </row>
    <row r="11" spans="1:12" ht="13" x14ac:dyDescent="0.3">
      <c r="A11" s="99" t="s">
        <v>39</v>
      </c>
      <c r="B11" s="96">
        <f t="shared" ref="B11:H11" si="0">B4-B2</f>
        <v>32.185490059997392</v>
      </c>
      <c r="C11" s="96">
        <f t="shared" si="0"/>
        <v>51.405355889997736</v>
      </c>
      <c r="D11" s="96">
        <f t="shared" si="0"/>
        <v>27.783540153268405</v>
      </c>
      <c r="E11" s="96">
        <f t="shared" si="0"/>
        <v>39.019337560963322</v>
      </c>
      <c r="F11" s="96">
        <f t="shared" si="0"/>
        <v>41.381062501372071</v>
      </c>
      <c r="G11" s="96">
        <f t="shared" si="0"/>
        <v>43.700916131801932</v>
      </c>
      <c r="H11" s="96">
        <f t="shared" si="0"/>
        <v>46.024589930151706</v>
      </c>
      <c r="I11"/>
    </row>
    <row r="12" spans="1:12" x14ac:dyDescent="0.25">
      <c r="B12" s="132"/>
      <c r="C12" s="132"/>
      <c r="D12" s="132"/>
      <c r="E12" s="132"/>
      <c r="F12" s="132"/>
      <c r="G12" s="132"/>
      <c r="H12" s="132"/>
      <c r="I12"/>
    </row>
    <row r="13" spans="1:12" s="171" customFormat="1" ht="13" x14ac:dyDescent="0.3">
      <c r="A13" s="167"/>
      <c r="B13" s="168"/>
      <c r="C13" s="169"/>
      <c r="D13" s="169"/>
      <c r="E13" s="169"/>
      <c r="F13" s="169"/>
      <c r="G13" s="169"/>
      <c r="H13" s="169"/>
      <c r="I13" s="170"/>
    </row>
    <row r="14" spans="1:12" ht="39" x14ac:dyDescent="0.25">
      <c r="A14" s="93" t="s">
        <v>152</v>
      </c>
      <c r="B14" s="208" t="str">
        <f>TableauxNote!C21</f>
        <v>2020/2019</v>
      </c>
      <c r="C14" s="208" t="str">
        <f>TableauxNote!D21</f>
        <v>2021/2020</v>
      </c>
      <c r="D14" s="208" t="str">
        <f>TableauxNote!E21</f>
        <v>2022/2021</v>
      </c>
      <c r="E14" s="208" t="str">
        <f>TableauxNote!F21</f>
        <v>2023/2022</v>
      </c>
      <c r="F14" s="208" t="str">
        <f>TableauxNote!G21</f>
        <v>2024/2023</v>
      </c>
      <c r="G14" s="208" t="str">
        <f>TableauxNote!H21</f>
        <v>2025/2024</v>
      </c>
      <c r="H14" s="240" t="s">
        <v>104</v>
      </c>
    </row>
    <row r="15" spans="1:12" ht="13" x14ac:dyDescent="0.3">
      <c r="A15" s="95" t="s">
        <v>71</v>
      </c>
      <c r="B15" s="145">
        <f t="shared" ref="B15:G22" si="1">C2/B2-1</f>
        <v>3.1766382158511464E-2</v>
      </c>
      <c r="C15" s="145">
        <f>D2/C2-1</f>
        <v>-7.7533352309884451E-2</v>
      </c>
      <c r="D15" s="145">
        <f t="shared" si="1"/>
        <v>-1.0467614311429618E-2</v>
      </c>
      <c r="E15" s="145">
        <f t="shared" si="1"/>
        <v>1.9664665583664753E-2</v>
      </c>
      <c r="F15" s="145">
        <f t="shared" si="1"/>
        <v>2.4880014947784579E-2</v>
      </c>
      <c r="G15" s="145">
        <f>H2/G2-1</f>
        <v>2.5852962962680692E-2</v>
      </c>
      <c r="H15" s="473">
        <f>(H2/C2)^(1/5)-1</f>
        <v>-4.321247709812015E-3</v>
      </c>
    </row>
    <row r="16" spans="1:12" ht="13" x14ac:dyDescent="0.3">
      <c r="A16" s="485" t="s">
        <v>72</v>
      </c>
      <c r="B16" s="146">
        <f t="shared" si="1"/>
        <v>3.1937367238814351E-2</v>
      </c>
      <c r="C16" s="486">
        <f>D3/C3-1</f>
        <v>-2.8625901063716874E-2</v>
      </c>
      <c r="D16" s="146">
        <f t="shared" si="1"/>
        <v>-2.1609091106195022E-3</v>
      </c>
      <c r="E16" s="146">
        <f t="shared" si="1"/>
        <v>2.5216344212637187E-2</v>
      </c>
      <c r="F16" s="146">
        <f t="shared" si="1"/>
        <v>2.6962233391263135E-2</v>
      </c>
      <c r="G16" s="146">
        <f t="shared" si="1"/>
        <v>2.8379689376952788E-2</v>
      </c>
      <c r="H16" s="488">
        <f>(H3/C3)^(1/5)-1</f>
        <v>9.7040621170585428E-3</v>
      </c>
    </row>
    <row r="17" spans="1:11" ht="13" x14ac:dyDescent="0.3">
      <c r="A17" s="520" t="s">
        <v>73</v>
      </c>
      <c r="B17" s="145">
        <f>C4/B4-1</f>
        <v>3.2994594204593497E-2</v>
      </c>
      <c r="C17" s="518">
        <f t="shared" si="1"/>
        <v>-7.8816338340540804E-2</v>
      </c>
      <c r="D17" s="145">
        <f>E4/D4-1</f>
        <v>-9.6500522752506201E-3</v>
      </c>
      <c r="E17" s="145">
        <f t="shared" si="1"/>
        <v>1.9778856971283565E-2</v>
      </c>
      <c r="F17" s="145">
        <f t="shared" si="1"/>
        <v>2.4970632418849226E-2</v>
      </c>
      <c r="G17" s="145">
        <f>H4/G4-1</f>
        <v>2.5934766397518461E-2</v>
      </c>
      <c r="H17" s="384">
        <f>(H4/C4)^(1/5)-1</f>
        <v>-4.3781559870051945E-3</v>
      </c>
      <c r="J17" s="94"/>
    </row>
    <row r="18" spans="1:11" ht="13" x14ac:dyDescent="0.3">
      <c r="A18" s="521" t="s">
        <v>74</v>
      </c>
      <c r="B18" s="146">
        <f t="shared" si="1"/>
        <v>-5.6054073187127074E-2</v>
      </c>
      <c r="C18" s="519">
        <f t="shared" si="1"/>
        <v>-8.4573249013942808E-3</v>
      </c>
      <c r="D18" s="146">
        <f t="shared" si="1"/>
        <v>6.271241004335093E-2</v>
      </c>
      <c r="E18" s="146">
        <f t="shared" si="1"/>
        <v>3.4746859883607373E-2</v>
      </c>
      <c r="F18" s="146">
        <f t="shared" si="1"/>
        <v>2.5374125058269303E-2</v>
      </c>
      <c r="G18" s="146">
        <f t="shared" si="1"/>
        <v>2.2736440150812998E-2</v>
      </c>
      <c r="H18" s="384">
        <f t="shared" ref="H18:H23" si="2">(H5/C5)^(1/5)-1</f>
        <v>2.7167980404394942E-2</v>
      </c>
    </row>
    <row r="19" spans="1:11" ht="13" x14ac:dyDescent="0.3">
      <c r="A19" s="521" t="s">
        <v>75</v>
      </c>
      <c r="B19" s="146">
        <f t="shared" si="1"/>
        <v>-1.8209996125532757E-2</v>
      </c>
      <c r="C19" s="519">
        <f t="shared" si="1"/>
        <v>8.9721239848141732E-3</v>
      </c>
      <c r="D19" s="146">
        <f t="shared" si="1"/>
        <v>-8.5835019455934303E-3</v>
      </c>
      <c r="E19" s="146">
        <f t="shared" si="1"/>
        <v>-1.6215532025996904E-2</v>
      </c>
      <c r="F19" s="146">
        <f t="shared" si="1"/>
        <v>-1.5514628243406881E-2</v>
      </c>
      <c r="G19" s="146">
        <f t="shared" si="1"/>
        <v>-1.5178736483944077E-2</v>
      </c>
      <c r="H19" s="384">
        <f>(H6/C6)^(1/5)-1</f>
        <v>-9.3496642227490767E-3</v>
      </c>
    </row>
    <row r="20" spans="1:11" ht="13" x14ac:dyDescent="0.3">
      <c r="A20" s="521" t="s">
        <v>76</v>
      </c>
      <c r="B20" s="146">
        <f>C7/B7-1</f>
        <v>1.510478931880721E-3</v>
      </c>
      <c r="C20" s="519">
        <f t="shared" si="1"/>
        <v>-0.27019690275326746</v>
      </c>
      <c r="D20" s="146">
        <f t="shared" si="1"/>
        <v>3.0605045501779005E-2</v>
      </c>
      <c r="E20" s="146">
        <f t="shared" si="1"/>
        <v>2.8664592316917314E-2</v>
      </c>
      <c r="F20" s="146">
        <f t="shared" si="1"/>
        <v>2.6242291283900876E-2</v>
      </c>
      <c r="G20" s="146">
        <f t="shared" si="1"/>
        <v>2.2981772870042994E-2</v>
      </c>
      <c r="H20" s="384">
        <f t="shared" si="2"/>
        <v>-4.0736516826769265E-2</v>
      </c>
    </row>
    <row r="21" spans="1:11" ht="13" x14ac:dyDescent="0.3">
      <c r="A21" s="521" t="s">
        <v>77</v>
      </c>
      <c r="B21" s="146" t="e">
        <f>C8/B8-1</f>
        <v>#DIV/0!</v>
      </c>
      <c r="C21" s="519">
        <f>D8/C8-1</f>
        <v>0.15087504219025694</v>
      </c>
      <c r="D21" s="146">
        <f>E8/D8-1</f>
        <v>0</v>
      </c>
      <c r="E21" s="146">
        <f t="shared" si="1"/>
        <v>2.989271303994312E-2</v>
      </c>
      <c r="F21" s="146">
        <f>G8/F8-1</f>
        <v>2.8399877485387526E-2</v>
      </c>
      <c r="G21" s="146">
        <f t="shared" si="1"/>
        <v>2.9715676719254347E-2</v>
      </c>
      <c r="H21" s="384">
        <f t="shared" si="2"/>
        <v>4.6501607190362781E-2</v>
      </c>
    </row>
    <row r="22" spans="1:11" ht="13" x14ac:dyDescent="0.3">
      <c r="A22" s="485" t="str">
        <f>A9</f>
        <v>Dont cotisations prises en charge par l'Etat</v>
      </c>
      <c r="B22" s="146">
        <f t="shared" si="1"/>
        <v>0.25112365297948758</v>
      </c>
      <c r="C22" s="486">
        <f t="shared" si="1"/>
        <v>-2.0447973209494763E-2</v>
      </c>
      <c r="D22" s="146">
        <f t="shared" si="1"/>
        <v>-0.19022374606610148</v>
      </c>
      <c r="E22" s="146">
        <f t="shared" si="1"/>
        <v>-0.77292059853131301</v>
      </c>
      <c r="F22" s="146">
        <f t="shared" si="1"/>
        <v>2.3606194992377594E-2</v>
      </c>
      <c r="G22" s="146">
        <f t="shared" si="1"/>
        <v>2.0969789938333872E-2</v>
      </c>
      <c r="H22" s="384">
        <f t="shared" si="2"/>
        <v>-0.28395021842506674</v>
      </c>
    </row>
    <row r="23" spans="1:11" ht="13" x14ac:dyDescent="0.3">
      <c r="A23" s="485" t="str">
        <f>A10</f>
        <v>Dont reprises sur provisions</v>
      </c>
      <c r="B23" s="146">
        <f t="shared" ref="B23:G23" si="3">C10/B10-1</f>
        <v>4.3804992907249485E-2</v>
      </c>
      <c r="C23" s="486">
        <f t="shared" si="3"/>
        <v>5.4583318075391629E-2</v>
      </c>
      <c r="D23" s="146">
        <f t="shared" si="3"/>
        <v>3.1243868074348313E-2</v>
      </c>
      <c r="E23" s="146">
        <f t="shared" si="3"/>
        <v>2.8847900796920678E-2</v>
      </c>
      <c r="F23" s="146">
        <f t="shared" si="3"/>
        <v>3.0687282871156407E-2</v>
      </c>
      <c r="G23" s="146">
        <f t="shared" si="3"/>
        <v>2.6277152551455352E-2</v>
      </c>
      <c r="H23" s="384">
        <f t="shared" si="2"/>
        <v>3.4277331012822598E-2</v>
      </c>
    </row>
    <row r="24" spans="1:11" ht="13" x14ac:dyDescent="0.3">
      <c r="A24" s="99" t="str">
        <f>A11</f>
        <v>RESULTAT NET SA</v>
      </c>
      <c r="B24" s="145">
        <f t="shared" ref="B24:G24" si="4">C11/B11-1</f>
        <v>0.59715933466205873</v>
      </c>
      <c r="C24" s="145">
        <f t="shared" si="4"/>
        <v>-0.45952051741996747</v>
      </c>
      <c r="D24" s="145">
        <f t="shared" si="4"/>
        <v>0.40440481471088408</v>
      </c>
      <c r="E24" s="145">
        <f t="shared" si="4"/>
        <v>6.0527038336281924E-2</v>
      </c>
      <c r="F24" s="145">
        <f t="shared" si="4"/>
        <v>5.606075557757717E-2</v>
      </c>
      <c r="G24" s="145">
        <f t="shared" si="4"/>
        <v>5.3172198755320643E-2</v>
      </c>
      <c r="H24" s="488">
        <f>(H11/C11)^(1/5)-1</f>
        <v>-2.1870603044230386E-2</v>
      </c>
    </row>
    <row r="27" spans="1:11" ht="13" x14ac:dyDescent="0.25">
      <c r="A27" s="117" t="s">
        <v>94</v>
      </c>
      <c r="B27" s="208">
        <f t="shared" ref="B27:G27" si="5">C1</f>
        <v>2020</v>
      </c>
      <c r="C27" s="208" t="str">
        <f t="shared" si="5"/>
        <v>2021(p)</v>
      </c>
      <c r="D27" s="208" t="str">
        <f t="shared" si="5"/>
        <v>2022(p)</v>
      </c>
      <c r="E27" s="208" t="str">
        <f t="shared" si="5"/>
        <v>2023(p)</v>
      </c>
      <c r="F27" s="208" t="str">
        <f t="shared" si="5"/>
        <v>2024(p)</v>
      </c>
      <c r="G27" s="208" t="str">
        <f t="shared" si="5"/>
        <v>2025(p)</v>
      </c>
      <c r="H27" s="208" t="s">
        <v>171</v>
      </c>
    </row>
    <row r="28" spans="1:11" x14ac:dyDescent="0.25">
      <c r="A28" s="117" t="str">
        <f>A15</f>
        <v>Charges</v>
      </c>
      <c r="B28" s="119">
        <f t="shared" ref="B28:G28" si="6">(B2/B$2)*B15*100</f>
        <v>3.1766382158511464</v>
      </c>
      <c r="C28" s="119">
        <f t="shared" si="6"/>
        <v>-7.7533352309884451</v>
      </c>
      <c r="D28" s="119">
        <f t="shared" si="6"/>
        <v>-1.0467614311429618</v>
      </c>
      <c r="E28" s="119">
        <f t="shared" si="6"/>
        <v>1.9664665583664753</v>
      </c>
      <c r="F28" s="119">
        <f t="shared" si="6"/>
        <v>2.4880014947784579</v>
      </c>
      <c r="G28" s="119">
        <f t="shared" si="6"/>
        <v>2.5852962962680692</v>
      </c>
      <c r="H28" s="555">
        <f>AVERAGE(C28:G28)</f>
        <v>-0.35206646254368101</v>
      </c>
    </row>
    <row r="29" spans="1:11" x14ac:dyDescent="0.25">
      <c r="A29" s="97" t="s">
        <v>240</v>
      </c>
      <c r="B29" s="119">
        <f t="shared" ref="B29:G29" si="7">(B3/B$4)*B16*100</f>
        <v>2.5812431013008048</v>
      </c>
      <c r="C29" s="119">
        <f t="shared" si="7"/>
        <v>-2.3112357799852021</v>
      </c>
      <c r="D29" s="119">
        <f t="shared" si="7"/>
        <v>-0.18397629951404271</v>
      </c>
      <c r="E29" s="119">
        <f t="shared" si="7"/>
        <v>2.1631136282780266</v>
      </c>
      <c r="F29" s="119">
        <f t="shared" si="7"/>
        <v>2.3252121882665491</v>
      </c>
      <c r="G29" s="119">
        <f t="shared" si="7"/>
        <v>2.4522086231711318</v>
      </c>
      <c r="H29" s="555">
        <f>AVERAGE(C29:G29)</f>
        <v>0.88906447204329242</v>
      </c>
    </row>
    <row r="30" spans="1:11" ht="13" x14ac:dyDescent="0.3">
      <c r="A30" s="520" t="s">
        <v>73</v>
      </c>
      <c r="B30" s="385">
        <f t="shared" ref="B30:B35" si="8">(B4/B$4)*B17*100</f>
        <v>3.2994594204593497</v>
      </c>
      <c r="C30" s="385">
        <f t="shared" ref="C30:G33" si="9">(C4/C$4)*C17*100</f>
        <v>-7.8816338340540799</v>
      </c>
      <c r="D30" s="385">
        <f t="shared" si="9"/>
        <v>-0.96500522752506201</v>
      </c>
      <c r="E30" s="385">
        <f t="shared" si="9"/>
        <v>1.9778856971283565</v>
      </c>
      <c r="F30" s="385">
        <f t="shared" si="9"/>
        <v>2.4970632418849226</v>
      </c>
      <c r="G30" s="385">
        <f t="shared" si="9"/>
        <v>2.5934766397518461</v>
      </c>
      <c r="H30" s="556">
        <f>AVERAGE(C30:G30)</f>
        <v>-0.35564269656280328</v>
      </c>
      <c r="K30" s="186" t="s">
        <v>227</v>
      </c>
    </row>
    <row r="31" spans="1:11" x14ac:dyDescent="0.25">
      <c r="A31" s="521" t="s">
        <v>74</v>
      </c>
      <c r="B31" s="119">
        <f t="shared" si="8"/>
        <v>-2.178405595037876</v>
      </c>
      <c r="C31" s="119">
        <f t="shared" si="9"/>
        <v>-0.30034032789086329</v>
      </c>
      <c r="D31" s="119">
        <f t="shared" si="9"/>
        <v>2.3971726308374408</v>
      </c>
      <c r="E31" s="119">
        <f t="shared" si="9"/>
        <v>1.4252414740232346</v>
      </c>
      <c r="F31" s="119">
        <f t="shared" si="9"/>
        <v>1.0560684743745259</v>
      </c>
      <c r="G31" s="119">
        <f t="shared" si="9"/>
        <v>0.94666081824263582</v>
      </c>
      <c r="H31" s="556">
        <f t="shared" ref="H31:H36" si="10">AVERAGE(C31:G31)</f>
        <v>1.1049606139173949</v>
      </c>
    </row>
    <row r="32" spans="1:11" x14ac:dyDescent="0.25">
      <c r="A32" s="521" t="s">
        <v>75</v>
      </c>
      <c r="B32" s="119">
        <f t="shared" si="8"/>
        <v>-0.3172200969703407</v>
      </c>
      <c r="C32" s="119">
        <f t="shared" si="9"/>
        <v>0.14854795033141066</v>
      </c>
      <c r="D32" s="119">
        <f t="shared" si="9"/>
        <v>-0.1556570689406937</v>
      </c>
      <c r="E32" s="119">
        <f t="shared" si="9"/>
        <v>-0.29437640642585544</v>
      </c>
      <c r="F32" s="119">
        <f t="shared" si="9"/>
        <v>-0.27171094242566812</v>
      </c>
      <c r="G32" s="119">
        <f t="shared" si="9"/>
        <v>-0.25532845764958523</v>
      </c>
      <c r="H32" s="556">
        <f t="shared" si="10"/>
        <v>-0.16570498502207837</v>
      </c>
    </row>
    <row r="33" spans="1:19" x14ac:dyDescent="0.25">
      <c r="A33" s="521" t="s">
        <v>76</v>
      </c>
      <c r="B33" s="119">
        <f t="shared" si="8"/>
        <v>1.3933663483536024E-2</v>
      </c>
      <c r="C33" s="119">
        <f t="shared" si="9"/>
        <v>-2.4165092437846489</v>
      </c>
      <c r="D33" s="119">
        <f t="shared" si="9"/>
        <v>0.21685058565956056</v>
      </c>
      <c r="E33" s="119">
        <f t="shared" si="9"/>
        <v>0.21135713852282034</v>
      </c>
      <c r="F33" s="119">
        <f t="shared" si="9"/>
        <v>0.19518241653829521</v>
      </c>
      <c r="G33" s="119">
        <f t="shared" si="9"/>
        <v>0.17114371418241325</v>
      </c>
      <c r="H33" s="556">
        <f>AVERAGE(C33:G33)</f>
        <v>-0.32439507777631194</v>
      </c>
      <c r="S33" s="483"/>
    </row>
    <row r="34" spans="1:19" x14ac:dyDescent="0.25">
      <c r="A34" s="521" t="s">
        <v>77</v>
      </c>
      <c r="B34" s="119" t="e">
        <f t="shared" si="8"/>
        <v>#DIV/0!</v>
      </c>
      <c r="C34" s="119">
        <f>(C8/C$4)*C21*100</f>
        <v>1.1991735891519733E-2</v>
      </c>
      <c r="D34" s="119">
        <f t="shared" ref="C34:G35" si="11">(D8/D$4)*D21*100</f>
        <v>0</v>
      </c>
      <c r="E34" s="119">
        <f t="shared" si="11"/>
        <v>2.9972519122578828E-3</v>
      </c>
      <c r="F34" s="119">
        <f t="shared" si="11"/>
        <v>2.8758111369176793E-3</v>
      </c>
      <c r="G34" s="119">
        <f t="shared" si="11"/>
        <v>3.0191181830720604E-3</v>
      </c>
      <c r="H34" s="556">
        <f t="shared" si="10"/>
        <v>4.1767834247534701E-3</v>
      </c>
    </row>
    <row r="35" spans="1:19" x14ac:dyDescent="0.25">
      <c r="A35" s="485" t="str">
        <f>A22</f>
        <v>Dont cotisations prises en charge par l'Etat</v>
      </c>
      <c r="B35" s="119">
        <f t="shared" si="8"/>
        <v>0.76671182082268152</v>
      </c>
      <c r="C35" s="119">
        <f t="shared" si="11"/>
        <v>-7.5613091030122495E-2</v>
      </c>
      <c r="D35" s="119">
        <f t="shared" si="11"/>
        <v>-0.7479847364307679</v>
      </c>
      <c r="E35" s="119">
        <f t="shared" si="11"/>
        <v>-2.4850735185721637</v>
      </c>
      <c r="F35" s="119">
        <f t="shared" si="11"/>
        <v>1.6900598613427738E-2</v>
      </c>
      <c r="G35" s="119">
        <f>(G9/G$4)*G22*100</f>
        <v>1.4993107704437675E-2</v>
      </c>
      <c r="H35" s="555">
        <f t="shared" si="10"/>
        <v>-0.65535552794303764</v>
      </c>
    </row>
    <row r="36" spans="1:19" x14ac:dyDescent="0.25">
      <c r="A36" s="485" t="str">
        <f>A23</f>
        <v>Dont reprises sur provisions</v>
      </c>
      <c r="B36" s="119">
        <f>(B10/B$4)*B23*100</f>
        <v>0.20368692241675568</v>
      </c>
      <c r="C36" s="119">
        <f>(C10/C$4)*C23*100</f>
        <v>0.25646067772943243</v>
      </c>
      <c r="D36" s="119">
        <f>(D10/D$4)*D23*100</f>
        <v>0.16805843654852665</v>
      </c>
      <c r="E36" s="119">
        <f>(E10/E$4)*E23*100</f>
        <v>0.16157807722547868</v>
      </c>
      <c r="F36" s="119">
        <f>(F10/F$4)*F23*100</f>
        <v>0.17340907783304613</v>
      </c>
      <c r="G36" s="119">
        <f>(G10/G$4)*G23*100</f>
        <v>0.14931628973771893</v>
      </c>
      <c r="H36" s="555">
        <f t="shared" si="10"/>
        <v>0.18176451181484057</v>
      </c>
    </row>
    <row r="38" spans="1:19" x14ac:dyDescent="0.25">
      <c r="A38" s="223" t="s">
        <v>172</v>
      </c>
    </row>
    <row r="60" spans="1:1" x14ac:dyDescent="0.25">
      <c r="A60" s="483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ignoredErrors>
    <ignoredError sqref="C2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zoomScale="80" zoomScaleNormal="80" workbookViewId="0"/>
  </sheetViews>
  <sheetFormatPr baseColWidth="10" defaultRowHeight="12.5" x14ac:dyDescent="0.25"/>
  <cols>
    <col min="1" max="1" width="34.26953125" customWidth="1"/>
    <col min="8" max="8" width="21.7265625" bestFit="1" customWidth="1"/>
    <col min="9" max="9" width="11.453125" style="94"/>
  </cols>
  <sheetData>
    <row r="1" spans="1:11" ht="39" x14ac:dyDescent="0.25">
      <c r="A1" s="93" t="s">
        <v>153</v>
      </c>
      <c r="B1" s="208">
        <f>TableauxNote!C4</f>
        <v>2019</v>
      </c>
      <c r="C1" s="208">
        <f>TableauxNote!D4</f>
        <v>2020</v>
      </c>
      <c r="D1" s="208" t="str">
        <f>TableauxNote!E4</f>
        <v>2021(p)</v>
      </c>
      <c r="E1" s="208" t="str">
        <f>TableauxNote!F4</f>
        <v>2022(p)</v>
      </c>
      <c r="F1" s="208" t="str">
        <f>TableauxNote!G4</f>
        <v>2023(p)</v>
      </c>
      <c r="G1" s="208" t="str">
        <f>TableauxNote!H4</f>
        <v>2024(p)</v>
      </c>
      <c r="H1" s="208" t="str">
        <f>TableauxNote!I4</f>
        <v>2025(p)</v>
      </c>
      <c r="K1" s="186" t="s">
        <v>226</v>
      </c>
    </row>
    <row r="2" spans="1:11" ht="13" x14ac:dyDescent="0.3">
      <c r="A2" s="95" t="s">
        <v>71</v>
      </c>
      <c r="B2" s="96">
        <f>'Détail CHG PDT'!B5</f>
        <v>6740.081936550001</v>
      </c>
      <c r="C2" s="96">
        <f>'Détail CHG PDT'!C5</f>
        <v>6704.1865379800029</v>
      </c>
      <c r="D2" s="96">
        <f>'Détail CHG PDT'!D5</f>
        <v>6725.8020161372497</v>
      </c>
      <c r="E2" s="96">
        <f>'Détail CHG PDT'!E5</f>
        <v>6828.5599653849795</v>
      </c>
      <c r="F2" s="96">
        <f>'Détail CHG PDT'!F5</f>
        <v>7018.1114655208958</v>
      </c>
      <c r="G2" s="96">
        <f>'Détail CHG PDT'!G5</f>
        <v>7256.838267839109</v>
      </c>
      <c r="H2" s="96">
        <f>'Détail CHG PDT'!H5</f>
        <v>7510.8245790530164</v>
      </c>
    </row>
    <row r="3" spans="1:11" x14ac:dyDescent="0.25">
      <c r="A3" s="97" t="s">
        <v>72</v>
      </c>
      <c r="B3" s="98">
        <f>TableauxNote!C41</f>
        <v>5976.9863220700008</v>
      </c>
      <c r="C3" s="98">
        <f>TableauxNote!D41</f>
        <v>6097.3565332900025</v>
      </c>
      <c r="D3" s="98">
        <f>TableauxNote!E41</f>
        <v>6232.8144394015862</v>
      </c>
      <c r="E3" s="98">
        <f>TableauxNote!F41</f>
        <v>6433.5058186363622</v>
      </c>
      <c r="F3" s="98">
        <f>TableauxNote!G41</f>
        <v>6667.9872408298043</v>
      </c>
      <c r="G3" s="98">
        <f>TableauxNote!H41</f>
        <v>6901.9526525768861</v>
      </c>
      <c r="H3" s="98">
        <f>TableauxNote!I41</f>
        <v>7151.5207483851455</v>
      </c>
    </row>
    <row r="4" spans="1:11" ht="13" x14ac:dyDescent="0.3">
      <c r="A4" s="95" t="s">
        <v>73</v>
      </c>
      <c r="B4" s="96">
        <f>'Détail CHG PDT'!B12</f>
        <v>6740.081936550001</v>
      </c>
      <c r="C4" s="96">
        <f>'Détail CHG PDT'!C12</f>
        <v>6704.186537980001</v>
      </c>
      <c r="D4" s="96">
        <f>'Détail CHG PDT'!D12</f>
        <v>6725.8020161372506</v>
      </c>
      <c r="E4" s="96">
        <f>'Détail CHG PDT'!E12</f>
        <v>6828.5599653849804</v>
      </c>
      <c r="F4" s="96">
        <f>'Détail CHG PDT'!F12</f>
        <v>7018.1114655208958</v>
      </c>
      <c r="G4" s="96">
        <f>'Détail CHG PDT'!G12</f>
        <v>7256.838267839109</v>
      </c>
      <c r="H4" s="96">
        <f>'Détail CHG PDT'!H12</f>
        <v>7510.8245790530173</v>
      </c>
    </row>
    <row r="5" spans="1:11" x14ac:dyDescent="0.25">
      <c r="A5" s="97" t="s">
        <v>74</v>
      </c>
      <c r="B5" s="98">
        <f>TableauxNote!C47</f>
        <v>2958.6473397100003</v>
      </c>
      <c r="C5" s="98">
        <f>TableauxNote!D47</f>
        <v>2949.6173165</v>
      </c>
      <c r="D5" s="98">
        <f>TableauxNote!E47</f>
        <v>2947.253498909743</v>
      </c>
      <c r="E5" s="98">
        <f>TableauxNote!F47</f>
        <v>3101.6132387693006</v>
      </c>
      <c r="F5" s="98">
        <f>TableauxNote!G47</f>
        <v>3191.4099031101687</v>
      </c>
      <c r="G5" s="98">
        <f>TableauxNote!H47</f>
        <v>3275.8945312355036</v>
      </c>
      <c r="H5" s="98">
        <f>TableauxNote!I47</f>
        <v>3352.1392499076414</v>
      </c>
    </row>
    <row r="6" spans="1:11" x14ac:dyDescent="0.25">
      <c r="A6" s="97" t="s">
        <v>75</v>
      </c>
      <c r="B6" s="98">
        <f>'Détail CHG PDT'!B25</f>
        <v>2581</v>
      </c>
      <c r="C6" s="98">
        <f>'Détail CHG PDT'!C25</f>
        <v>2534</v>
      </c>
      <c r="D6" s="98">
        <f>'Détail CHG PDT'!D25</f>
        <v>2556.7353621775192</v>
      </c>
      <c r="E6" s="98">
        <f>'Détail CHG PDT'!E25</f>
        <v>2534.7896192219009</v>
      </c>
      <c r="F6" s="98">
        <f>'Détail CHG PDT'!F25</f>
        <v>2493.6866569722438</v>
      </c>
      <c r="G6" s="98">
        <f>'Détail CHG PDT'!G25</f>
        <v>2454.9980355337752</v>
      </c>
      <c r="H6" s="98">
        <f>'Détail CHG PDT'!H26</f>
        <v>2417.7342672838076</v>
      </c>
      <c r="J6" s="94"/>
    </row>
    <row r="7" spans="1:11" x14ac:dyDescent="0.25">
      <c r="A7" s="97" t="s">
        <v>76</v>
      </c>
      <c r="B7" s="98">
        <f>'Détail CHG PDT'!B37</f>
        <v>0</v>
      </c>
      <c r="C7" s="98">
        <f>'Détail CHG PDT'!C37</f>
        <v>0</v>
      </c>
      <c r="D7" s="98">
        <f>'Détail CHG PDT'!D37</f>
        <v>0</v>
      </c>
      <c r="E7" s="98">
        <f>'Détail CHG PDT'!E37</f>
        <v>0</v>
      </c>
      <c r="F7" s="98">
        <f>'Détail CHG PDT'!F37</f>
        <v>0</v>
      </c>
      <c r="G7" s="98">
        <f>'Détail CHG PDT'!G37</f>
        <v>0</v>
      </c>
      <c r="H7" s="98">
        <f>'Détail CHG PDT'!H38</f>
        <v>1111.8158698535597</v>
      </c>
    </row>
    <row r="8" spans="1:11" x14ac:dyDescent="0.25">
      <c r="A8" s="97" t="s">
        <v>77</v>
      </c>
      <c r="B8" s="98">
        <f>'Détail CHG PDT'!B19</f>
        <v>0</v>
      </c>
      <c r="C8" s="98">
        <f>'Détail CHG PDT'!C19</f>
        <v>0</v>
      </c>
      <c r="D8" s="98">
        <f>'Détail CHG PDT'!D19</f>
        <v>0</v>
      </c>
      <c r="E8" s="98">
        <f>'Détail CHG PDT'!E19</f>
        <v>0</v>
      </c>
      <c r="F8" s="98">
        <f>'Détail CHG PDT'!F19</f>
        <v>0</v>
      </c>
      <c r="G8" s="98">
        <f>'Détail CHG PDT'!G19</f>
        <v>0</v>
      </c>
      <c r="H8" s="98">
        <f>'Détail CHG PDT'!H20</f>
        <v>15.268605065187176</v>
      </c>
    </row>
    <row r="9" spans="1:11" x14ac:dyDescent="0.25">
      <c r="A9" s="97" t="s">
        <v>141</v>
      </c>
      <c r="B9" s="98">
        <f>'Détail CHG PDT'!B31</f>
        <v>221.46946525999999</v>
      </c>
      <c r="C9" s="98">
        <f>'Détail CHG PDT'!C31</f>
        <v>234.39204854000002</v>
      </c>
      <c r="D9" s="98">
        <f>'Détail CHG PDT'!D31</f>
        <v>261.92016890869081</v>
      </c>
      <c r="E9" s="98">
        <f>'Détail CHG PDT'!E31</f>
        <v>224.07428154356563</v>
      </c>
      <c r="F9" s="98">
        <f>'Détail CHG PDT'!F31</f>
        <v>54.987082949380913</v>
      </c>
      <c r="G9" s="98">
        <f>'Détail CHG PDT'!G31</f>
        <v>56.307925682616769</v>
      </c>
      <c r="H9" s="98">
        <f>'Détail CHG PDT'!H31</f>
        <v>57.504304423102212</v>
      </c>
    </row>
    <row r="10" spans="1:11" x14ac:dyDescent="0.25">
      <c r="A10" s="97" t="s">
        <v>135</v>
      </c>
      <c r="B10" s="98">
        <f>'Détail CHG PDT'!B43</f>
        <v>182.80554420999999</v>
      </c>
      <c r="C10" s="98">
        <f>'Détail CHG PDT'!C43</f>
        <v>191.43262465999999</v>
      </c>
      <c r="D10" s="98">
        <f>'Détail CHG PDT'!D43</f>
        <v>191.33872616000002</v>
      </c>
      <c r="E10" s="98">
        <f>'Détail CHG PDT'!E43</f>
        <v>192.01219481841611</v>
      </c>
      <c r="F10" s="98">
        <f>'Détail CHG PDT'!F43</f>
        <v>201.29527546384347</v>
      </c>
      <c r="G10" s="98">
        <f>'Détail CHG PDT'!G43</f>
        <v>207.39227995512465</v>
      </c>
      <c r="H10" s="98">
        <f>'Détail CHG PDT'!H43</f>
        <v>213.20372443329916</v>
      </c>
    </row>
    <row r="11" spans="1:11" ht="13" x14ac:dyDescent="0.3">
      <c r="A11" s="99" t="s">
        <v>39</v>
      </c>
      <c r="B11" s="96">
        <f t="shared" ref="B11:H11" si="0">B4-B2</f>
        <v>0</v>
      </c>
      <c r="C11" s="96">
        <f t="shared" si="0"/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</row>
    <row r="12" spans="1:11" x14ac:dyDescent="0.25">
      <c r="B12" s="132"/>
      <c r="C12" s="132"/>
      <c r="D12" s="132"/>
      <c r="E12" s="132"/>
      <c r="F12" s="132"/>
      <c r="G12" s="132"/>
      <c r="H12" s="132"/>
    </row>
    <row r="13" spans="1:11" s="171" customFormat="1" ht="13" x14ac:dyDescent="0.3">
      <c r="A13" s="167"/>
      <c r="B13" s="168"/>
      <c r="C13" s="169"/>
      <c r="D13" s="169"/>
      <c r="E13" s="169"/>
      <c r="F13" s="169"/>
      <c r="G13" s="169"/>
      <c r="H13" s="169"/>
      <c r="I13" s="170"/>
    </row>
    <row r="14" spans="1:11" ht="39" x14ac:dyDescent="0.25">
      <c r="A14" s="93" t="s">
        <v>152</v>
      </c>
      <c r="B14" s="208" t="str">
        <f>TableauxNote!C21</f>
        <v>2020/2019</v>
      </c>
      <c r="C14" s="208" t="str">
        <f>TableauxNote!D21</f>
        <v>2021/2020</v>
      </c>
      <c r="D14" s="208" t="str">
        <f>TableauxNote!E21</f>
        <v>2022/2021</v>
      </c>
      <c r="E14" s="208" t="str">
        <f>TableauxNote!F21</f>
        <v>2023/2022</v>
      </c>
      <c r="F14" s="208" t="str">
        <f>TableauxNote!G21</f>
        <v>2024/2023</v>
      </c>
      <c r="G14" s="208" t="str">
        <f>TableauxNote!H21</f>
        <v>2025/2024</v>
      </c>
      <c r="H14" s="208" t="s">
        <v>104</v>
      </c>
    </row>
    <row r="15" spans="1:11" ht="13" x14ac:dyDescent="0.3">
      <c r="A15" s="95" t="s">
        <v>71</v>
      </c>
      <c r="B15" s="145">
        <f>C2/B2-1</f>
        <v>-5.3256620480153227E-3</v>
      </c>
      <c r="C15" s="145">
        <f t="shared" ref="B15:G24" si="1">D2/C2-1</f>
        <v>3.2241761226052823E-3</v>
      </c>
      <c r="D15" s="145">
        <f>E2/D2-1</f>
        <v>1.5278170395319757E-2</v>
      </c>
      <c r="E15" s="145">
        <f t="shared" si="1"/>
        <v>2.7758634484690958E-2</v>
      </c>
      <c r="F15" s="145">
        <f t="shared" si="1"/>
        <v>3.401581800047615E-2</v>
      </c>
      <c r="G15" s="145">
        <f t="shared" si="1"/>
        <v>3.4999582716280786E-2</v>
      </c>
      <c r="H15" s="145">
        <f>((H2/C2)^(1/5))-1</f>
        <v>2.298273900688641E-2</v>
      </c>
    </row>
    <row r="16" spans="1:11" x14ac:dyDescent="0.25">
      <c r="A16" s="97" t="s">
        <v>72</v>
      </c>
      <c r="B16" s="146">
        <f t="shared" si="1"/>
        <v>2.0138947076980163E-2</v>
      </c>
      <c r="C16" s="146">
        <f t="shared" si="1"/>
        <v>2.221584146703881E-2</v>
      </c>
      <c r="D16" s="146">
        <f t="shared" si="1"/>
        <v>3.2199158371550185E-2</v>
      </c>
      <c r="E16" s="146">
        <f t="shared" si="1"/>
        <v>3.6446912275140075E-2</v>
      </c>
      <c r="F16" s="146">
        <f t="shared" si="1"/>
        <v>3.5087861343592763E-2</v>
      </c>
      <c r="G16" s="146">
        <f t="shared" si="1"/>
        <v>3.6159056483107133E-2</v>
      </c>
      <c r="H16" s="146">
        <f t="shared" ref="H16:H24" si="2">((H3/C3)^(1/5))-1</f>
        <v>3.2408003155553811E-2</v>
      </c>
    </row>
    <row r="17" spans="1:18" ht="13" x14ac:dyDescent="0.3">
      <c r="A17" s="95" t="s">
        <v>73</v>
      </c>
      <c r="B17" s="145">
        <f t="shared" si="1"/>
        <v>-5.3256620480156558E-3</v>
      </c>
      <c r="C17" s="145">
        <f t="shared" si="1"/>
        <v>3.2241761226057264E-3</v>
      </c>
      <c r="D17" s="145">
        <f t="shared" si="1"/>
        <v>1.5278170395319757E-2</v>
      </c>
      <c r="E17" s="145">
        <f t="shared" si="1"/>
        <v>2.7758634484690958E-2</v>
      </c>
      <c r="F17" s="145">
        <f t="shared" si="1"/>
        <v>3.401581800047615E-2</v>
      </c>
      <c r="G17" s="145">
        <f t="shared" si="1"/>
        <v>3.4999582716281008E-2</v>
      </c>
      <c r="H17" s="145">
        <f t="shared" si="2"/>
        <v>2.2982739006886632E-2</v>
      </c>
    </row>
    <row r="18" spans="1:18" x14ac:dyDescent="0.25">
      <c r="A18" s="97" t="s">
        <v>74</v>
      </c>
      <c r="B18" s="146">
        <f t="shared" si="1"/>
        <v>-3.0520782550871317E-3</v>
      </c>
      <c r="C18" s="146">
        <f t="shared" si="1"/>
        <v>-8.0139805832912803E-4</v>
      </c>
      <c r="D18" s="146">
        <f t="shared" si="1"/>
        <v>5.2374096736727438E-2</v>
      </c>
      <c r="E18" s="146">
        <f t="shared" si="1"/>
        <v>2.8951599515514959E-2</v>
      </c>
      <c r="F18" s="146">
        <f t="shared" si="1"/>
        <v>2.647250923267519E-2</v>
      </c>
      <c r="G18" s="146">
        <f t="shared" si="1"/>
        <v>2.3274472955447045E-2</v>
      </c>
      <c r="H18" s="146">
        <f t="shared" si="2"/>
        <v>2.5914753536629309E-2</v>
      </c>
    </row>
    <row r="19" spans="1:18" x14ac:dyDescent="0.25">
      <c r="A19" s="97" t="s">
        <v>75</v>
      </c>
      <c r="B19" s="146">
        <f t="shared" si="1"/>
        <v>-1.8209996125532757E-2</v>
      </c>
      <c r="C19" s="146">
        <f t="shared" si="1"/>
        <v>8.9721239848141732E-3</v>
      </c>
      <c r="D19" s="146">
        <f t="shared" si="1"/>
        <v>-8.5835019455934303E-3</v>
      </c>
      <c r="E19" s="146">
        <f t="shared" si="1"/>
        <v>-1.6215532025996904E-2</v>
      </c>
      <c r="F19" s="146">
        <f t="shared" si="1"/>
        <v>-1.5514628243406881E-2</v>
      </c>
      <c r="G19" s="146">
        <f t="shared" si="1"/>
        <v>-1.5178736483944077E-2</v>
      </c>
      <c r="H19" s="146">
        <f t="shared" si="2"/>
        <v>-9.3496642227490767E-3</v>
      </c>
    </row>
    <row r="20" spans="1:18" x14ac:dyDescent="0.25">
      <c r="A20" s="97" t="s">
        <v>76</v>
      </c>
      <c r="B20" s="146" t="e">
        <f>C7/B7-1</f>
        <v>#DIV/0!</v>
      </c>
      <c r="C20" s="146" t="e">
        <f t="shared" si="1"/>
        <v>#DIV/0!</v>
      </c>
      <c r="D20" s="146" t="e">
        <f t="shared" si="1"/>
        <v>#DIV/0!</v>
      </c>
      <c r="E20" s="146" t="e">
        <f t="shared" si="1"/>
        <v>#DIV/0!</v>
      </c>
      <c r="F20" s="146" t="e">
        <f t="shared" si="1"/>
        <v>#DIV/0!</v>
      </c>
      <c r="G20" s="146" t="e">
        <f t="shared" si="1"/>
        <v>#DIV/0!</v>
      </c>
      <c r="H20" s="146" t="e">
        <f t="shared" si="2"/>
        <v>#DIV/0!</v>
      </c>
    </row>
    <row r="21" spans="1:18" x14ac:dyDescent="0.25">
      <c r="A21" s="97" t="s">
        <v>77</v>
      </c>
      <c r="B21" s="146" t="e">
        <f t="shared" si="1"/>
        <v>#DIV/0!</v>
      </c>
      <c r="C21" s="146" t="e">
        <f t="shared" si="1"/>
        <v>#DIV/0!</v>
      </c>
      <c r="D21" s="146" t="e">
        <f t="shared" si="1"/>
        <v>#DIV/0!</v>
      </c>
      <c r="E21" s="146" t="e">
        <f t="shared" si="1"/>
        <v>#DIV/0!</v>
      </c>
      <c r="F21" s="146" t="e">
        <f t="shared" si="1"/>
        <v>#DIV/0!</v>
      </c>
      <c r="G21" s="146" t="e">
        <f t="shared" si="1"/>
        <v>#DIV/0!</v>
      </c>
      <c r="H21" s="146" t="e">
        <f t="shared" si="2"/>
        <v>#DIV/0!</v>
      </c>
    </row>
    <row r="22" spans="1:18" x14ac:dyDescent="0.25">
      <c r="A22" s="97" t="str">
        <f>A9</f>
        <v>Dont cotisations prises en charge par l'Etat</v>
      </c>
      <c r="B22" s="146">
        <f t="shared" si="1"/>
        <v>5.8349277471859251E-2</v>
      </c>
      <c r="C22" s="146">
        <f t="shared" si="1"/>
        <v>0.11744477058910552</v>
      </c>
      <c r="D22" s="146">
        <f t="shared" si="1"/>
        <v>-0.14449397892041982</v>
      </c>
      <c r="E22" s="146">
        <f t="shared" si="1"/>
        <v>-0.75460332809907926</v>
      </c>
      <c r="F22" s="146">
        <f t="shared" si="1"/>
        <v>2.4020963877130486E-2</v>
      </c>
      <c r="G22" s="146">
        <f t="shared" si="1"/>
        <v>2.1247075362514911E-2</v>
      </c>
      <c r="H22" s="146">
        <f t="shared" si="2"/>
        <v>-0.24499209983758086</v>
      </c>
    </row>
    <row r="23" spans="1:18" x14ac:dyDescent="0.25">
      <c r="A23" s="97" t="str">
        <f>A10</f>
        <v>Dont reprises sur provisions</v>
      </c>
      <c r="B23" s="146">
        <f t="shared" si="1"/>
        <v>4.7192663041387473E-2</v>
      </c>
      <c r="C23" s="146">
        <f t="shared" si="1"/>
        <v>-4.9050416650109341E-4</v>
      </c>
      <c r="D23" s="146">
        <f t="shared" si="1"/>
        <v>3.519771830470475E-3</v>
      </c>
      <c r="E23" s="146">
        <f t="shared" si="1"/>
        <v>4.8346307661376819E-2</v>
      </c>
      <c r="F23" s="146">
        <f t="shared" si="1"/>
        <v>3.0288860368093085E-2</v>
      </c>
      <c r="G23" s="146">
        <f t="shared" si="1"/>
        <v>2.8021508223121883E-2</v>
      </c>
      <c r="H23" s="146">
        <f t="shared" si="2"/>
        <v>2.1776162604315363E-2</v>
      </c>
    </row>
    <row r="24" spans="1:18" ht="13" x14ac:dyDescent="0.3">
      <c r="A24" s="99" t="str">
        <f>A11</f>
        <v>RESULTAT NET SA</v>
      </c>
      <c r="B24" s="145" t="e">
        <f t="shared" si="1"/>
        <v>#DIV/0!</v>
      </c>
      <c r="C24" s="145" t="e">
        <f t="shared" si="1"/>
        <v>#DIV/0!</v>
      </c>
      <c r="D24" s="145" t="e">
        <f t="shared" si="1"/>
        <v>#DIV/0!</v>
      </c>
      <c r="E24" s="145" t="e">
        <f t="shared" si="1"/>
        <v>#DIV/0!</v>
      </c>
      <c r="F24" s="145" t="e">
        <f t="shared" si="1"/>
        <v>#DIV/0!</v>
      </c>
      <c r="G24" s="145" t="e">
        <f t="shared" si="1"/>
        <v>#DIV/0!</v>
      </c>
      <c r="H24" s="145" t="e">
        <f t="shared" si="2"/>
        <v>#DIV/0!</v>
      </c>
    </row>
    <row r="25" spans="1:18" x14ac:dyDescent="0.25">
      <c r="B25" s="133"/>
      <c r="C25" s="133"/>
      <c r="D25" s="133"/>
      <c r="E25" s="133"/>
      <c r="F25" s="133"/>
      <c r="G25" s="133"/>
      <c r="K25" s="186" t="s">
        <v>227</v>
      </c>
    </row>
    <row r="27" spans="1:18" ht="13" x14ac:dyDescent="0.25">
      <c r="A27" s="117" t="s">
        <v>94</v>
      </c>
      <c r="B27" s="208">
        <f t="shared" ref="B27:G27" si="3">C1</f>
        <v>2020</v>
      </c>
      <c r="C27" s="208" t="str">
        <f t="shared" si="3"/>
        <v>2021(p)</v>
      </c>
      <c r="D27" s="208" t="str">
        <f t="shared" si="3"/>
        <v>2022(p)</v>
      </c>
      <c r="E27" s="208" t="str">
        <f t="shared" si="3"/>
        <v>2023(p)</v>
      </c>
      <c r="F27" s="208" t="str">
        <f t="shared" si="3"/>
        <v>2024(p)</v>
      </c>
      <c r="G27" s="208" t="str">
        <f t="shared" si="3"/>
        <v>2025(p)</v>
      </c>
      <c r="R27" s="483" t="s">
        <v>180</v>
      </c>
    </row>
    <row r="28" spans="1:18" ht="13" x14ac:dyDescent="0.3">
      <c r="A28" s="95" t="s">
        <v>73</v>
      </c>
      <c r="B28" s="120">
        <f>(B4/B$4)*B17*100</f>
        <v>-0.53256620480156558</v>
      </c>
      <c r="C28" s="120">
        <f t="shared" ref="B28:G34" si="4">(C4/C$4)*C17*100</f>
        <v>0.32241761226057264</v>
      </c>
      <c r="D28" s="120">
        <f t="shared" si="4"/>
        <v>1.5278170395319757</v>
      </c>
      <c r="E28" s="120">
        <f t="shared" si="4"/>
        <v>2.7758634484690958</v>
      </c>
      <c r="F28" s="120">
        <f t="shared" si="4"/>
        <v>3.401581800047615</v>
      </c>
      <c r="G28" s="120">
        <f t="shared" si="4"/>
        <v>3.4999582716281008</v>
      </c>
      <c r="H28" s="191"/>
    </row>
    <row r="29" spans="1:18" x14ac:dyDescent="0.25">
      <c r="A29" s="97" t="s">
        <v>74</v>
      </c>
      <c r="B29" s="119">
        <f>(B5/B$4)*B18*100</f>
        <v>-0.13397497678822606</v>
      </c>
      <c r="C29" s="119">
        <f t="shared" si="4"/>
        <v>-3.5258827851310078E-2</v>
      </c>
      <c r="D29" s="119">
        <f t="shared" si="4"/>
        <v>2.2950384131022767</v>
      </c>
      <c r="E29" s="119">
        <f t="shared" si="4"/>
        <v>1.3150161204713902</v>
      </c>
      <c r="F29" s="119">
        <f t="shared" si="4"/>
        <v>1.203808582129215</v>
      </c>
      <c r="G29" s="119">
        <f>(G5/G$4)*G18*100</f>
        <v>1.0506602994039336</v>
      </c>
      <c r="H29" s="191"/>
    </row>
    <row r="30" spans="1:18" x14ac:dyDescent="0.25">
      <c r="A30" s="97" t="s">
        <v>75</v>
      </c>
      <c r="B30" s="119">
        <f t="shared" si="4"/>
        <v>-0.69732089969306243</v>
      </c>
      <c r="C30" s="119">
        <f t="shared" si="4"/>
        <v>0.33912186137304839</v>
      </c>
      <c r="D30" s="119">
        <f t="shared" si="4"/>
        <v>-0.32629183706216341</v>
      </c>
      <c r="E30" s="119">
        <f t="shared" si="4"/>
        <v>-0.60192723587424668</v>
      </c>
      <c r="F30" s="119">
        <f t="shared" si="4"/>
        <v>-0.55126826680569008</v>
      </c>
      <c r="G30" s="119">
        <f t="shared" si="4"/>
        <v>-0.51349867359058143</v>
      </c>
      <c r="H30" s="191"/>
    </row>
    <row r="31" spans="1:18" x14ac:dyDescent="0.25">
      <c r="A31" s="97" t="s">
        <v>76</v>
      </c>
      <c r="B31" s="119" t="e">
        <f t="shared" si="4"/>
        <v>#DIV/0!</v>
      </c>
      <c r="C31" s="119" t="e">
        <f t="shared" si="4"/>
        <v>#DIV/0!</v>
      </c>
      <c r="D31" s="119" t="e">
        <f t="shared" si="4"/>
        <v>#DIV/0!</v>
      </c>
      <c r="E31" s="119" t="e">
        <f t="shared" si="4"/>
        <v>#DIV/0!</v>
      </c>
      <c r="F31" s="119" t="e">
        <f t="shared" si="4"/>
        <v>#DIV/0!</v>
      </c>
      <c r="G31" s="119" t="e">
        <f t="shared" si="4"/>
        <v>#DIV/0!</v>
      </c>
      <c r="H31" s="191"/>
    </row>
    <row r="32" spans="1:18" x14ac:dyDescent="0.25">
      <c r="A32" s="97" t="s">
        <v>77</v>
      </c>
      <c r="B32" s="119" t="e">
        <f t="shared" si="4"/>
        <v>#DIV/0!</v>
      </c>
      <c r="C32" s="119" t="e">
        <f t="shared" si="4"/>
        <v>#DIV/0!</v>
      </c>
      <c r="D32" s="119" t="e">
        <f t="shared" si="4"/>
        <v>#DIV/0!</v>
      </c>
      <c r="E32" s="119" t="e">
        <f t="shared" si="4"/>
        <v>#DIV/0!</v>
      </c>
      <c r="F32" s="119" t="e">
        <f t="shared" si="4"/>
        <v>#DIV/0!</v>
      </c>
      <c r="G32" s="119" t="e">
        <f t="shared" si="4"/>
        <v>#DIV/0!</v>
      </c>
      <c r="H32" s="191"/>
    </row>
    <row r="33" spans="1:8" x14ac:dyDescent="0.25">
      <c r="A33" s="97" t="str">
        <f>A22</f>
        <v>Dont cotisations prises en charge par l'Etat</v>
      </c>
      <c r="B33" s="119">
        <f t="shared" si="4"/>
        <v>0.19172739147166254</v>
      </c>
      <c r="C33" s="119">
        <f t="shared" si="4"/>
        <v>0.41061089533742484</v>
      </c>
      <c r="D33" s="119">
        <f t="shared" si="4"/>
        <v>-0.56269701775819958</v>
      </c>
      <c r="E33" s="119">
        <f t="shared" si="4"/>
        <v>-2.4761765211305709</v>
      </c>
      <c r="F33" s="119">
        <f t="shared" si="4"/>
        <v>1.8820486675439563E-2</v>
      </c>
      <c r="G33" s="119">
        <f>(G9/G$4)*G22*100</f>
        <v>1.648622576842541E-2</v>
      </c>
      <c r="H33" s="191"/>
    </row>
    <row r="34" spans="1:8" x14ac:dyDescent="0.25">
      <c r="A34" s="97" t="str">
        <f>A23</f>
        <v>Dont reprises sur provisions</v>
      </c>
      <c r="B34" s="119">
        <f t="shared" si="4"/>
        <v>0.12799667023656205</v>
      </c>
      <c r="C34" s="119">
        <f t="shared" si="4"/>
        <v>-1.4005949784962569E-3</v>
      </c>
      <c r="D34" s="119">
        <f t="shared" si="4"/>
        <v>1.0013209678194742E-2</v>
      </c>
      <c r="E34" s="119">
        <f t="shared" si="4"/>
        <v>0.13594492385634352</v>
      </c>
      <c r="F34" s="119">
        <f t="shared" si="4"/>
        <v>8.687528719421185E-2</v>
      </c>
      <c r="G34" s="119">
        <f t="shared" si="4"/>
        <v>8.0082320477358693E-2</v>
      </c>
      <c r="H34" s="191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Q8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7.26953125" defaultRowHeight="12.5" x14ac:dyDescent="0.25"/>
  <cols>
    <col min="1" max="1" width="38.54296875" bestFit="1" customWidth="1"/>
    <col min="2" max="2" width="13.26953125" bestFit="1" customWidth="1"/>
    <col min="3" max="3" width="12.1796875" customWidth="1"/>
    <col min="4" max="4" width="10.453125" bestFit="1" customWidth="1"/>
    <col min="5" max="5" width="11.81640625" style="158" customWidth="1"/>
    <col min="6" max="6" width="11.7265625" style="158" customWidth="1"/>
    <col min="7" max="7" width="11.26953125" style="158" bestFit="1" customWidth="1"/>
    <col min="8" max="8" width="26.1796875" style="158" bestFit="1" customWidth="1"/>
    <col min="9" max="9" width="8.81640625" style="158" bestFit="1" customWidth="1"/>
    <col min="10" max="11" width="7.1796875" bestFit="1" customWidth="1"/>
    <col min="12" max="12" width="6.81640625" customWidth="1"/>
    <col min="13" max="14" width="5.81640625" style="9" bestFit="1" customWidth="1"/>
    <col min="15" max="15" width="6.81640625" style="9" bestFit="1" customWidth="1"/>
    <col min="16" max="16" width="12.453125" bestFit="1" customWidth="1"/>
    <col min="17" max="17" width="11" bestFit="1" customWidth="1"/>
  </cols>
  <sheetData>
    <row r="1" spans="1:17" ht="13" x14ac:dyDescent="0.3">
      <c r="A1" s="573" t="s">
        <v>27</v>
      </c>
      <c r="B1" s="575"/>
      <c r="C1" s="576"/>
      <c r="D1" s="202"/>
      <c r="E1" s="577" t="s">
        <v>1</v>
      </c>
      <c r="F1" s="577"/>
      <c r="G1" s="577"/>
      <c r="H1" s="577"/>
      <c r="I1" s="578"/>
      <c r="J1" s="579" t="s">
        <v>0</v>
      </c>
      <c r="K1" s="579"/>
      <c r="L1" s="579"/>
      <c r="M1" s="579"/>
      <c r="N1" s="579"/>
      <c r="O1" s="579"/>
      <c r="P1" s="223"/>
    </row>
    <row r="2" spans="1:17" x14ac:dyDescent="0.25">
      <c r="A2" s="574"/>
      <c r="B2" s="80">
        <v>2018</v>
      </c>
      <c r="C2" s="80">
        <f t="shared" ref="C2:I2" si="0">B2+1</f>
        <v>2019</v>
      </c>
      <c r="D2" s="80">
        <f t="shared" si="0"/>
        <v>2020</v>
      </c>
      <c r="E2" s="80">
        <f t="shared" si="0"/>
        <v>2021</v>
      </c>
      <c r="F2" s="80">
        <f t="shared" si="0"/>
        <v>2022</v>
      </c>
      <c r="G2" s="80">
        <f t="shared" si="0"/>
        <v>2023</v>
      </c>
      <c r="H2" s="80">
        <f t="shared" si="0"/>
        <v>2024</v>
      </c>
      <c r="I2" s="80">
        <f t="shared" si="0"/>
        <v>2025</v>
      </c>
      <c r="J2" s="82">
        <f t="shared" ref="J2:O2" si="1">D2</f>
        <v>2020</v>
      </c>
      <c r="K2" s="82">
        <f t="shared" si="1"/>
        <v>2021</v>
      </c>
      <c r="L2" s="82">
        <f t="shared" si="1"/>
        <v>2022</v>
      </c>
      <c r="M2" s="82">
        <f t="shared" si="1"/>
        <v>2023</v>
      </c>
      <c r="N2" s="82">
        <f t="shared" si="1"/>
        <v>2024</v>
      </c>
      <c r="O2" s="82">
        <f t="shared" si="1"/>
        <v>2025</v>
      </c>
    </row>
    <row r="3" spans="1:17" x14ac:dyDescent="0.25">
      <c r="A3" s="83" t="s">
        <v>252</v>
      </c>
      <c r="B3" s="101"/>
      <c r="C3" s="101">
        <f>'RESULTAT NET'!B3</f>
        <v>11974.763930610001</v>
      </c>
      <c r="D3" s="101">
        <f>'RESULTAT NET'!C3</f>
        <v>12357.206363860001</v>
      </c>
      <c r="E3" s="101">
        <f>'RESULTAT NET'!D3</f>
        <v>12003.470197064213</v>
      </c>
      <c r="F3" s="101">
        <f>'RESULTAT NET'!E3</f>
        <v>11977.531788956327</v>
      </c>
      <c r="G3" s="101">
        <f>'RESULTAT NET'!F3</f>
        <v>12279.561353364454</v>
      </c>
      <c r="H3" s="101">
        <f>'RESULTAT NET'!G3</f>
        <v>12610.6457525162</v>
      </c>
      <c r="I3" s="101">
        <f>'RESULTAT NET'!H3</f>
        <v>12968.531961815399</v>
      </c>
      <c r="J3" s="217">
        <f t="shared" ref="J3:O4" si="2">D3/C3-1</f>
        <v>3.1937367238814351E-2</v>
      </c>
      <c r="K3" s="217">
        <f t="shared" si="2"/>
        <v>-2.8625901063716874E-2</v>
      </c>
      <c r="L3" s="217">
        <f t="shared" si="2"/>
        <v>-2.1609091106195022E-3</v>
      </c>
      <c r="M3" s="217">
        <f t="shared" si="2"/>
        <v>2.5216344212637187E-2</v>
      </c>
      <c r="N3" s="217">
        <f t="shared" si="2"/>
        <v>2.6962233391263135E-2</v>
      </c>
      <c r="O3" s="217">
        <f t="shared" si="2"/>
        <v>2.8379689376952788E-2</v>
      </c>
    </row>
    <row r="4" spans="1:17" x14ac:dyDescent="0.25">
      <c r="A4" s="102" t="s">
        <v>80</v>
      </c>
      <c r="B4" s="103">
        <f t="shared" ref="B4:I4" si="3">SUM(B6:B9)</f>
        <v>11832.942438360002</v>
      </c>
      <c r="C4" s="103">
        <f t="shared" si="3"/>
        <v>12083.723587700002</v>
      </c>
      <c r="D4" s="103">
        <f t="shared" si="3"/>
        <v>12460.963840220002</v>
      </c>
      <c r="E4" s="151">
        <f t="shared" si="3"/>
        <v>12105.006964838256</v>
      </c>
      <c r="F4" s="151">
        <f t="shared" si="3"/>
        <v>12081.019735991777</v>
      </c>
      <c r="G4" s="151">
        <f t="shared" si="3"/>
        <v>12381.201230280883</v>
      </c>
      <c r="H4" s="151">
        <f t="shared" si="3"/>
        <v>12714.304986238552</v>
      </c>
      <c r="I4" s="151">
        <f t="shared" si="3"/>
        <v>13070.012679050906</v>
      </c>
      <c r="J4" s="104">
        <f t="shared" si="2"/>
        <v>3.1218874693889287E-2</v>
      </c>
      <c r="K4" s="104">
        <f t="shared" si="2"/>
        <v>-2.8565757829489113E-2</v>
      </c>
      <c r="L4" s="104">
        <f t="shared" si="2"/>
        <v>-1.9815956253602662E-3</v>
      </c>
      <c r="M4" s="104">
        <f t="shared" si="2"/>
        <v>2.4847363951803425E-2</v>
      </c>
      <c r="N4" s="104">
        <f t="shared" si="2"/>
        <v>2.6903993381756308E-2</v>
      </c>
      <c r="O4" s="104">
        <f t="shared" si="2"/>
        <v>2.7976967140347586E-2</v>
      </c>
      <c r="P4" s="162">
        <f>((I4/D4)^(1/5)-1)</f>
        <v>9.5896150209371367E-3</v>
      </c>
      <c r="Q4" s="215"/>
    </row>
    <row r="5" spans="1:17" x14ac:dyDescent="0.25">
      <c r="A5" s="105" t="s">
        <v>81</v>
      </c>
      <c r="B5" s="106"/>
      <c r="C5" s="106"/>
      <c r="D5" s="106"/>
      <c r="E5" s="152"/>
      <c r="F5" s="152"/>
      <c r="G5" s="152"/>
      <c r="H5" s="152"/>
      <c r="I5" s="152"/>
      <c r="J5" s="107"/>
      <c r="K5" s="107"/>
      <c r="L5" s="107"/>
      <c r="M5" s="107"/>
      <c r="N5" s="107"/>
      <c r="O5" s="107"/>
    </row>
    <row r="6" spans="1:17" x14ac:dyDescent="0.25">
      <c r="A6" s="83" t="s">
        <v>82</v>
      </c>
      <c r="B6" s="213">
        <f>[3]Maladie!$G$10</f>
        <v>4688.0519999899998</v>
      </c>
      <c r="C6" s="213">
        <f>[3]Maladie!$H$10</f>
        <v>4809.1937053800002</v>
      </c>
      <c r="D6" s="213">
        <f>[3]Maladie!$I$10</f>
        <v>5090.9179437599996</v>
      </c>
      <c r="E6" s="213">
        <f>[3]Maladie!$R$10</f>
        <v>4594.9790808214684</v>
      </c>
      <c r="F6" s="213">
        <f>[3]Maladie!$W$10</f>
        <v>4369.2245346183709</v>
      </c>
      <c r="G6" s="213">
        <f>[3]Maladie!$AB$10</f>
        <v>4430.6768678667586</v>
      </c>
      <c r="H6" s="213">
        <f>[3]Maladie!$AG$10</f>
        <v>4524.9102270591193</v>
      </c>
      <c r="I6" s="213">
        <f>[3]Maladie!$AL$10</f>
        <v>4626.0448227483103</v>
      </c>
      <c r="J6" s="108">
        <f t="shared" ref="J6:K9" si="4">D6/C6-1</f>
        <v>5.8580347484202377E-2</v>
      </c>
      <c r="K6" s="108">
        <f t="shared" si="4"/>
        <v>-9.7416392960410936E-2</v>
      </c>
      <c r="L6" s="108">
        <f t="shared" ref="L6:O9" si="5">F6/E6-1</f>
        <v>-4.9130701627207007E-2</v>
      </c>
      <c r="M6" s="108">
        <f t="shared" si="5"/>
        <v>1.4064814651086666E-2</v>
      </c>
      <c r="N6" s="108">
        <f t="shared" si="5"/>
        <v>2.1268389007508715E-2</v>
      </c>
      <c r="O6" s="108">
        <f t="shared" si="5"/>
        <v>2.235063031403417E-2</v>
      </c>
    </row>
    <row r="7" spans="1:17" x14ac:dyDescent="0.25">
      <c r="A7" s="83" t="s">
        <v>83</v>
      </c>
      <c r="B7" s="213">
        <f>[3]AT!$G$10</f>
        <v>541.66042110000012</v>
      </c>
      <c r="C7" s="213">
        <f>[3]AT!$H$10</f>
        <v>559.01302891000012</v>
      </c>
      <c r="D7" s="213">
        <f>[3]AT!$I$10</f>
        <v>551.07181614000001</v>
      </c>
      <c r="E7" s="213">
        <f>[3]AT!$R$10</f>
        <v>569.76629590138236</v>
      </c>
      <c r="F7" s="213">
        <f>[3]AT!$W$10</f>
        <v>574.69365891863902</v>
      </c>
      <c r="G7" s="213">
        <f>[3]AT!$AB$10</f>
        <v>582.36924874870022</v>
      </c>
      <c r="H7" s="213">
        <f>[3]AT!$AG$10</f>
        <v>589.90534225643682</v>
      </c>
      <c r="I7" s="213">
        <f>[3]AT!$AL$10</f>
        <v>597.30585774839324</v>
      </c>
      <c r="J7" s="108">
        <f t="shared" si="4"/>
        <v>-1.4205774032645335E-2</v>
      </c>
      <c r="K7" s="108">
        <f t="shared" si="4"/>
        <v>3.3923853867774412E-2</v>
      </c>
      <c r="L7" s="108">
        <f t="shared" si="5"/>
        <v>8.64804228102245E-3</v>
      </c>
      <c r="M7" s="108">
        <f t="shared" si="5"/>
        <v>1.3355967498412724E-2</v>
      </c>
      <c r="N7" s="108">
        <f t="shared" si="5"/>
        <v>1.2940404260576743E-2</v>
      </c>
      <c r="O7" s="108">
        <f t="shared" si="5"/>
        <v>1.2545259318467616E-2</v>
      </c>
    </row>
    <row r="8" spans="1:17" x14ac:dyDescent="0.25">
      <c r="A8" s="83" t="s">
        <v>84</v>
      </c>
      <c r="B8" s="213">
        <f>[3]Famille!$G$10</f>
        <v>733.69353244000001</v>
      </c>
      <c r="C8" s="213">
        <f>[3]Famille!$H$10</f>
        <v>730.21497841000007</v>
      </c>
      <c r="D8" s="213">
        <f>[3]Famille!$I$10</f>
        <v>713.82187131000001</v>
      </c>
      <c r="E8" s="213">
        <f>[3]Famille!$R$10</f>
        <v>699.65146672901835</v>
      </c>
      <c r="F8" s="213">
        <f>[3]Famille!$W$10</f>
        <v>695.80008634400212</v>
      </c>
      <c r="G8" s="213">
        <f>[3]Famille!$AB$10</f>
        <v>692.37224235852113</v>
      </c>
      <c r="H8" s="213">
        <f>[3]Famille!$AG$10</f>
        <v>689.74114086630686</v>
      </c>
      <c r="I8" s="213">
        <f>[3]Famille!$AL$10</f>
        <v>687.34563368654187</v>
      </c>
      <c r="J8" s="108">
        <f t="shared" si="4"/>
        <v>-2.2449699861943562E-2</v>
      </c>
      <c r="K8" s="108">
        <f t="shared" si="4"/>
        <v>-1.9851457556177454E-2</v>
      </c>
      <c r="L8" s="108">
        <f t="shared" si="5"/>
        <v>-5.5047128008207658E-3</v>
      </c>
      <c r="M8" s="108">
        <f t="shared" si="5"/>
        <v>-4.9264782410306518E-3</v>
      </c>
      <c r="N8" s="108">
        <f t="shared" si="5"/>
        <v>-3.8001256134295724E-3</v>
      </c>
      <c r="O8" s="108">
        <f t="shared" si="5"/>
        <v>-3.4730524798858298E-3</v>
      </c>
    </row>
    <row r="9" spans="1:17" x14ac:dyDescent="0.25">
      <c r="A9" s="83" t="s">
        <v>85</v>
      </c>
      <c r="B9" s="213">
        <f>[3]Vieillesse!$G$10</f>
        <v>5869.5364848300014</v>
      </c>
      <c r="C9" s="213">
        <f>[3]Vieillesse!$H$10</f>
        <v>5985.301875000001</v>
      </c>
      <c r="D9" s="213">
        <f>[3]Vieillesse!$I$10</f>
        <v>6105.1522090100025</v>
      </c>
      <c r="E9" s="213">
        <f>[3]Vieillesse!$R$10</f>
        <v>6240.6101213863867</v>
      </c>
      <c r="F9" s="213">
        <f>[3]Vieillesse!$W$10</f>
        <v>6441.3014561107639</v>
      </c>
      <c r="G9" s="213">
        <f>[3]Vieillesse!$AB$10</f>
        <v>6675.7828713069039</v>
      </c>
      <c r="H9" s="213">
        <f>[3]Vieillesse!$AG$10</f>
        <v>6909.7482760566891</v>
      </c>
      <c r="I9" s="213">
        <f>[3]Vieillesse!$AL$10</f>
        <v>7159.3163648676591</v>
      </c>
      <c r="J9" s="108">
        <f t="shared" si="4"/>
        <v>2.0024108476567326E-2</v>
      </c>
      <c r="K9" s="108">
        <f t="shared" si="4"/>
        <v>2.218747506024088E-2</v>
      </c>
      <c r="L9" s="108">
        <f t="shared" si="5"/>
        <v>3.2158928505501949E-2</v>
      </c>
      <c r="M9" s="108">
        <f t="shared" si="5"/>
        <v>3.6402801016818032E-2</v>
      </c>
      <c r="N9" s="108">
        <f t="shared" si="5"/>
        <v>3.5046886524034315E-2</v>
      </c>
      <c r="O9" s="108">
        <f t="shared" si="5"/>
        <v>3.6118260584942163E-2</v>
      </c>
    </row>
    <row r="10" spans="1:17" x14ac:dyDescent="0.25">
      <c r="A10" s="83"/>
      <c r="B10" s="109"/>
      <c r="C10" s="109"/>
      <c r="D10" s="109"/>
      <c r="E10" s="153"/>
      <c r="F10" s="153"/>
      <c r="G10" s="153"/>
      <c r="H10" s="153"/>
      <c r="I10" s="153"/>
      <c r="J10" s="108"/>
      <c r="K10" s="108"/>
      <c r="L10" s="108"/>
      <c r="M10" s="108"/>
      <c r="N10" s="108"/>
      <c r="O10" s="108"/>
      <c r="P10" s="215"/>
      <c r="Q10" s="215"/>
    </row>
    <row r="11" spans="1:17" x14ac:dyDescent="0.25">
      <c r="A11" s="102" t="s">
        <v>242</v>
      </c>
      <c r="B11" s="110">
        <f t="shared" ref="B11:I11" si="6">SUM(B12:B15)</f>
        <v>1289.4791058000001</v>
      </c>
      <c r="C11" s="110">
        <f t="shared" si="6"/>
        <v>1241.4969233499999</v>
      </c>
      <c r="D11" s="110">
        <f t="shared" si="6"/>
        <v>1308.8877756700003</v>
      </c>
      <c r="E11" s="154">
        <f t="shared" si="6"/>
        <v>474.92128411280163</v>
      </c>
      <c r="F11" s="154">
        <f t="shared" si="6"/>
        <v>334.17004952612348</v>
      </c>
      <c r="G11" s="154">
        <f t="shared" si="6"/>
        <v>291.50828862317383</v>
      </c>
      <c r="H11" s="154">
        <f t="shared" si="6"/>
        <v>298.96270718815259</v>
      </c>
      <c r="I11" s="154">
        <f t="shared" si="6"/>
        <v>306.58461242060486</v>
      </c>
      <c r="J11" s="104">
        <f>D11/C11-1</f>
        <v>5.428193260290648E-2</v>
      </c>
      <c r="K11" s="104">
        <f t="shared" ref="K11:O15" si="7">E11/D11-1</f>
        <v>-0.63715660506516958</v>
      </c>
      <c r="L11" s="104">
        <f t="shared" si="7"/>
        <v>-0.29636750193164096</v>
      </c>
      <c r="M11" s="104">
        <f t="shared" si="7"/>
        <v>-0.12766482502979248</v>
      </c>
      <c r="N11" s="104">
        <f t="shared" si="7"/>
        <v>2.5571892312862943E-2</v>
      </c>
      <c r="O11" s="104">
        <f t="shared" si="7"/>
        <v>2.549450165252698E-2</v>
      </c>
      <c r="P11" s="162">
        <f>((I11/D11)^(1/5)-1)</f>
        <v>-0.25195178938944174</v>
      </c>
      <c r="Q11" s="162">
        <f>(K11+L11+M11+N11+O11)/5</f>
        <v>-0.20202450761224261</v>
      </c>
    </row>
    <row r="12" spans="1:17" x14ac:dyDescent="0.25">
      <c r="A12" s="83" t="s">
        <v>82</v>
      </c>
      <c r="B12" s="213">
        <f>[3]Maladie!$G$68</f>
        <v>914.03073057000006</v>
      </c>
      <c r="C12" s="213">
        <f>[3]Maladie!$H$68</f>
        <v>813.44403063999994</v>
      </c>
      <c r="D12" s="213">
        <f>[3]Maladie!$I$68</f>
        <v>1032.1486344100001</v>
      </c>
      <c r="E12" s="213">
        <f>[3]Maladie!$R$68</f>
        <v>310.15306735347588</v>
      </c>
      <c r="F12" s="213">
        <f>[3]Maladie!$W$68</f>
        <v>275.32312563887041</v>
      </c>
      <c r="G12" s="213">
        <f>[3]Maladie!$AB$68</f>
        <v>281.93797108973718</v>
      </c>
      <c r="H12" s="213">
        <f>[3]Maladie!$AG$68</f>
        <v>288.70169468760361</v>
      </c>
      <c r="I12" s="213">
        <f>[3]Maladie!$AL$68</f>
        <v>295.63282954596076</v>
      </c>
      <c r="J12" s="108">
        <f>D12/C12-1</f>
        <v>0.26886250993559835</v>
      </c>
      <c r="K12" s="108">
        <f t="shared" si="7"/>
        <v>-0.69950736065182462</v>
      </c>
      <c r="L12" s="108">
        <f t="shared" si="7"/>
        <v>-0.11229920120348325</v>
      </c>
      <c r="M12" s="108">
        <f t="shared" si="7"/>
        <v>2.4025753141939665E-2</v>
      </c>
      <c r="N12" s="108">
        <f t="shared" si="7"/>
        <v>2.3990112334722147E-2</v>
      </c>
      <c r="O12" s="108">
        <f t="shared" si="7"/>
        <v>2.4007946561786397E-2</v>
      </c>
    </row>
    <row r="13" spans="1:17" x14ac:dyDescent="0.25">
      <c r="A13" s="83" t="s">
        <v>83</v>
      </c>
      <c r="B13" s="213">
        <f>[3]AT!$G$37</f>
        <v>7.5270070100000002</v>
      </c>
      <c r="C13" s="213">
        <f>[3]AT!$H$37</f>
        <v>6.8334132799999994</v>
      </c>
      <c r="D13" s="213">
        <f>[3]AT!$I$37</f>
        <v>6.8692879799999993</v>
      </c>
      <c r="E13" s="213">
        <f>[3]AT!$R$37</f>
        <v>7.5820783637240545</v>
      </c>
      <c r="F13" s="213">
        <f>[3]AT!$W$37</f>
        <v>8.2794630074481095</v>
      </c>
      <c r="G13" s="213">
        <f>[3]AT!$AB$37</f>
        <v>8.976847651172168</v>
      </c>
      <c r="H13" s="213">
        <f>[3]AT!$AG$37</f>
        <v>9.6742322948962247</v>
      </c>
      <c r="I13" s="213">
        <f>[3]AT!$AL$37</f>
        <v>10.37161693862028</v>
      </c>
      <c r="J13" s="108">
        <f>D13/C13-1</f>
        <v>5.2498946763541721E-3</v>
      </c>
      <c r="K13" s="108">
        <f t="shared" si="7"/>
        <v>0.1037648131508464</v>
      </c>
      <c r="L13" s="108">
        <f t="shared" si="7"/>
        <v>9.1978031651670289E-2</v>
      </c>
      <c r="M13" s="108">
        <f t="shared" si="7"/>
        <v>8.4230661227267856E-2</v>
      </c>
      <c r="N13" s="108">
        <f t="shared" si="7"/>
        <v>7.768703121891507E-2</v>
      </c>
      <c r="O13" s="108">
        <f t="shared" si="7"/>
        <v>7.2086820169903199E-2</v>
      </c>
    </row>
    <row r="14" spans="1:17" x14ac:dyDescent="0.25">
      <c r="A14" s="83" t="s">
        <v>84</v>
      </c>
      <c r="B14" s="213">
        <f>[3]Famille!$G$52</f>
        <v>0.624</v>
      </c>
      <c r="C14" s="213">
        <f>[3]Famille!$H$52</f>
        <v>0.621</v>
      </c>
      <c r="D14" s="213">
        <f>[3]Famille!$I$52</f>
        <v>0.61399999999999999</v>
      </c>
      <c r="E14" s="213">
        <f>[3]Famille!$R$52</f>
        <v>0.60707890499194839</v>
      </c>
      <c r="F14" s="213">
        <f>[3]Famille!$W$52</f>
        <v>0.60023582554759469</v>
      </c>
      <c r="G14" s="213">
        <f>[3]Famille!$AB$52</f>
        <v>0.59346988226444952</v>
      </c>
      <c r="H14" s="213">
        <f>[3]Famille!$AG$52</f>
        <v>0.58678020565277289</v>
      </c>
      <c r="I14" s="213">
        <f>[3]Famille!$AL$52</f>
        <v>0.58016593602383659</v>
      </c>
      <c r="J14" s="108">
        <f>D14/C14-1</f>
        <v>-1.1272141706924366E-2</v>
      </c>
      <c r="K14" s="108">
        <f t="shared" si="7"/>
        <v>-1.1272141706924477E-2</v>
      </c>
      <c r="L14" s="108">
        <f t="shared" si="7"/>
        <v>-1.1272141706924366E-2</v>
      </c>
      <c r="M14" s="108">
        <f t="shared" si="7"/>
        <v>-1.1272141706924255E-2</v>
      </c>
      <c r="N14" s="108">
        <f t="shared" si="7"/>
        <v>-1.1272141706924477E-2</v>
      </c>
      <c r="O14" s="108">
        <f t="shared" si="7"/>
        <v>-1.1272141706924366E-2</v>
      </c>
    </row>
    <row r="15" spans="1:17" x14ac:dyDescent="0.25">
      <c r="A15" s="83" t="s">
        <v>85</v>
      </c>
      <c r="B15" s="213">
        <f>[3]Vieillesse!$G$53</f>
        <v>367.29736822000001</v>
      </c>
      <c r="C15" s="213">
        <f>[3]Vieillesse!$H$53</f>
        <v>420.59847943</v>
      </c>
      <c r="D15" s="213">
        <f>[3]Vieillesse!$I$53</f>
        <v>269.25585328</v>
      </c>
      <c r="E15" s="213">
        <f>[3]Vieillesse!$R$53</f>
        <v>156.57905949060972</v>
      </c>
      <c r="F15" s="213">
        <f>[3]Vieillesse!$W$53</f>
        <v>49.967225054257369</v>
      </c>
      <c r="G15" s="213">
        <f>[3]Vieillesse!$AB$53</f>
        <v>0</v>
      </c>
      <c r="H15" s="213">
        <f>[3]Vieillesse!$AG$53</f>
        <v>0</v>
      </c>
      <c r="I15" s="213">
        <f>[3]Vieillesse!$AL$53</f>
        <v>0</v>
      </c>
      <c r="J15" s="108">
        <f>D15/C15-1</f>
        <v>-0.35982685043251061</v>
      </c>
      <c r="K15" s="108">
        <f>E15/D15-1</f>
        <v>-0.41847481648696905</v>
      </c>
      <c r="L15" s="108">
        <f t="shared" si="7"/>
        <v>-0.68088181640116452</v>
      </c>
      <c r="M15" s="108">
        <f t="shared" si="7"/>
        <v>-1</v>
      </c>
      <c r="N15" s="108" t="e">
        <f t="shared" si="7"/>
        <v>#DIV/0!</v>
      </c>
      <c r="O15" s="108" t="e">
        <f t="shared" si="7"/>
        <v>#DIV/0!</v>
      </c>
    </row>
    <row r="16" spans="1:17" x14ac:dyDescent="0.25">
      <c r="A16" s="83"/>
      <c r="B16" s="112"/>
      <c r="C16" s="112"/>
      <c r="D16" s="112"/>
      <c r="E16" s="156"/>
      <c r="F16" s="156"/>
      <c r="G16" s="156"/>
      <c r="H16" s="156"/>
      <c r="I16" s="156"/>
      <c r="J16" s="108"/>
      <c r="K16" s="108"/>
      <c r="L16" s="108"/>
      <c r="M16" s="108"/>
      <c r="N16" s="108"/>
      <c r="O16" s="108"/>
    </row>
    <row r="17" spans="1:16" x14ac:dyDescent="0.25">
      <c r="A17" s="102" t="s">
        <v>86</v>
      </c>
      <c r="B17" s="110">
        <f t="shared" ref="B17:I17" si="8">SUM(B18:B21)</f>
        <v>35.793863399999999</v>
      </c>
      <c r="C17" s="110">
        <f t="shared" si="8"/>
        <v>55.316562310000002</v>
      </c>
      <c r="D17" s="110">
        <f t="shared" si="8"/>
        <v>35.632882940000002</v>
      </c>
      <c r="E17" s="154">
        <f t="shared" si="8"/>
        <v>36.584337320227213</v>
      </c>
      <c r="F17" s="154">
        <f t="shared" si="8"/>
        <v>38.884623298286513</v>
      </c>
      <c r="G17" s="154">
        <f t="shared" si="8"/>
        <v>40.256644610084052</v>
      </c>
      <c r="H17" s="154">
        <f t="shared" si="8"/>
        <v>41.253803100308431</v>
      </c>
      <c r="I17" s="154">
        <f t="shared" si="8"/>
        <v>42.191293105701483</v>
      </c>
      <c r="J17" s="104">
        <f>D17/C17-1</f>
        <v>-0.35583699615479591</v>
      </c>
      <c r="K17" s="104">
        <f t="shared" ref="K17:O21" si="9">E17/D17-1</f>
        <v>2.6701582968442494E-2</v>
      </c>
      <c r="L17" s="104">
        <f t="shared" si="9"/>
        <v>6.2876251055871579E-2</v>
      </c>
      <c r="M17" s="104">
        <f t="shared" si="9"/>
        <v>3.5284418246067872E-2</v>
      </c>
      <c r="N17" s="104">
        <f t="shared" si="9"/>
        <v>2.4770034857167333E-2</v>
      </c>
      <c r="O17" s="104">
        <f t="shared" si="9"/>
        <v>2.2724935277204539E-2</v>
      </c>
    </row>
    <row r="18" spans="1:16" x14ac:dyDescent="0.25">
      <c r="A18" s="83" t="s">
        <v>82</v>
      </c>
      <c r="B18" s="213">
        <f>[3]Maladie!$G$87</f>
        <v>11.616517629999999</v>
      </c>
      <c r="C18" s="213">
        <f>[3]Maladie!$H$87</f>
        <v>11.51729802</v>
      </c>
      <c r="D18" s="213">
        <f>[3]Maladie!$I$87</f>
        <v>12.08966317</v>
      </c>
      <c r="E18" s="213">
        <f>[3]Maladie!$R$87</f>
        <v>12.04385945460448</v>
      </c>
      <c r="F18" s="213">
        <f>[3]Maladie!$W$87</f>
        <v>12.79417087056923</v>
      </c>
      <c r="G18" s="213">
        <f>[3]Maladie!$AB$87</f>
        <v>13.34415215159869</v>
      </c>
      <c r="H18" s="213">
        <f>[3]Maladie!$AG$87</f>
        <v>13.674731782775378</v>
      </c>
      <c r="I18" s="213">
        <f>[3]Maladie!$AL$87</f>
        <v>13.976864070203661</v>
      </c>
      <c r="J18" s="108">
        <f>D18/C18-1</f>
        <v>4.9696130898590596E-2</v>
      </c>
      <c r="K18" s="108">
        <f t="shared" si="9"/>
        <v>-3.7886676205487468E-3</v>
      </c>
      <c r="L18" s="108">
        <f t="shared" si="9"/>
        <v>6.2298254043299917E-2</v>
      </c>
      <c r="M18" s="108">
        <f t="shared" si="9"/>
        <v>4.2986863829886479E-2</v>
      </c>
      <c r="N18" s="108">
        <f t="shared" si="9"/>
        <v>2.4773370943397266E-2</v>
      </c>
      <c r="O18" s="108">
        <f t="shared" si="9"/>
        <v>2.2094202082182379E-2</v>
      </c>
    </row>
    <row r="19" spans="1:16" x14ac:dyDescent="0.25">
      <c r="A19" s="83" t="s">
        <v>83</v>
      </c>
      <c r="B19" s="213">
        <f>[3]AT!$G$43</f>
        <v>4.5593331700000004</v>
      </c>
      <c r="C19" s="213">
        <f>[3]AT!$H$43</f>
        <v>24.959690270000003</v>
      </c>
      <c r="D19" s="213">
        <f>[3]AT!$I$43</f>
        <v>3.1759518799999999</v>
      </c>
      <c r="E19" s="213">
        <f>[3]AT!$R$43</f>
        <v>4.3517197849279707</v>
      </c>
      <c r="F19" s="213">
        <f>[3]AT!$W$43</f>
        <v>4.6315557856052294</v>
      </c>
      <c r="G19" s="213">
        <f>[3]AT!$AB$43</f>
        <v>4.8267600369606409</v>
      </c>
      <c r="H19" s="213">
        <f>[3]AT!$AG$43</f>
        <v>4.9016498274299387</v>
      </c>
      <c r="I19" s="213">
        <f>[3]AT!$AL$43</f>
        <v>4.9976492692270913</v>
      </c>
      <c r="J19" s="108">
        <f>D19/C19-1</f>
        <v>-0.87275675917271711</v>
      </c>
      <c r="K19" s="108">
        <f t="shared" si="9"/>
        <v>0.37020960938739744</v>
      </c>
      <c r="L19" s="108">
        <f t="shared" si="9"/>
        <v>6.4304692054497847E-2</v>
      </c>
      <c r="M19" s="108">
        <f t="shared" si="9"/>
        <v>4.2146583219854872E-2</v>
      </c>
      <c r="N19" s="108">
        <f t="shared" si="9"/>
        <v>1.5515540423769458E-2</v>
      </c>
      <c r="O19" s="108">
        <f t="shared" si="9"/>
        <v>1.9585128513247563E-2</v>
      </c>
    </row>
    <row r="20" spans="1:16" x14ac:dyDescent="0.25">
      <c r="A20" s="83" t="s">
        <v>84</v>
      </c>
      <c r="B20" s="213">
        <f>[3]Famille!$G$56</f>
        <v>5.3857913699999997</v>
      </c>
      <c r="C20" s="213">
        <f>[3]Famille!$H$56</f>
        <v>5.6228449600000001</v>
      </c>
      <c r="D20" s="213">
        <f>[3]Famille!$I$56</f>
        <v>5.8455808700000009</v>
      </c>
      <c r="E20" s="213">
        <f>[3]Famille!$R$56</f>
        <v>5.6308432921424378</v>
      </c>
      <c r="F20" s="213">
        <f>[3]Famille!$W$56</f>
        <v>6.15756125049628</v>
      </c>
      <c r="G20" s="213">
        <f>[3]Famille!$AB$56</f>
        <v>6.3354848954292979</v>
      </c>
      <c r="H20" s="213">
        <f>[3]Famille!$AG$56</f>
        <v>6.5029532094013227</v>
      </c>
      <c r="I20" s="213">
        <f>[3]Famille!$AL$56</f>
        <v>6.654101283959144</v>
      </c>
      <c r="J20" s="108">
        <f>D20/C20-1</f>
        <v>3.9612671447373682E-2</v>
      </c>
      <c r="K20" s="108">
        <f t="shared" si="9"/>
        <v>-3.6735028157700134E-2</v>
      </c>
      <c r="L20" s="108">
        <f t="shared" si="9"/>
        <v>9.3541576461353637E-2</v>
      </c>
      <c r="M20" s="108">
        <f t="shared" si="9"/>
        <v>2.8895148208014643E-2</v>
      </c>
      <c r="N20" s="108">
        <f t="shared" si="9"/>
        <v>2.6433385405566057E-2</v>
      </c>
      <c r="O20" s="108">
        <f t="shared" si="9"/>
        <v>2.3242989714166606E-2</v>
      </c>
    </row>
    <row r="21" spans="1:16" x14ac:dyDescent="0.25">
      <c r="A21" s="83" t="s">
        <v>85</v>
      </c>
      <c r="B21" s="213">
        <f>[3]Vieillesse!$G$59</f>
        <v>14.23222123</v>
      </c>
      <c r="C21" s="213">
        <f>[3]Vieillesse!$H$59</f>
        <v>13.216729059999999</v>
      </c>
      <c r="D21" s="213">
        <f>[3]Vieillesse!$I$59</f>
        <v>14.52168702</v>
      </c>
      <c r="E21" s="213">
        <f>[3]Vieillesse!$R$59</f>
        <v>14.557914788552326</v>
      </c>
      <c r="F21" s="213">
        <f>[3]Vieillesse!$W$59</f>
        <v>15.301335391615776</v>
      </c>
      <c r="G21" s="213">
        <f>[3]Vieillesse!$AB$59</f>
        <v>15.750247526095423</v>
      </c>
      <c r="H21" s="213">
        <f>[3]Vieillesse!$AG$59</f>
        <v>16.174468280701788</v>
      </c>
      <c r="I21" s="213">
        <f>[3]Vieillesse!$AL$59</f>
        <v>16.56267848231159</v>
      </c>
      <c r="J21" s="108">
        <f>D21/C21-1</f>
        <v>9.873531900940713E-2</v>
      </c>
      <c r="K21" s="108">
        <f t="shared" si="9"/>
        <v>2.4947355291731199E-3</v>
      </c>
      <c r="L21" s="108">
        <f t="shared" si="9"/>
        <v>5.1066420834393167E-2</v>
      </c>
      <c r="M21" s="108">
        <f t="shared" si="9"/>
        <v>2.9338101740167266E-2</v>
      </c>
      <c r="N21" s="108">
        <f t="shared" si="9"/>
        <v>2.6934227789341403E-2</v>
      </c>
      <c r="O21" s="108">
        <f t="shared" si="9"/>
        <v>2.4001419698784554E-2</v>
      </c>
    </row>
    <row r="22" spans="1:16" x14ac:dyDescent="0.25">
      <c r="A22" s="83"/>
      <c r="B22" s="112"/>
      <c r="C22" s="112"/>
      <c r="D22" s="112"/>
      <c r="E22" s="156"/>
      <c r="F22" s="156"/>
      <c r="G22" s="156"/>
      <c r="H22" s="156"/>
      <c r="I22" s="156"/>
      <c r="J22" s="108"/>
      <c r="K22" s="108"/>
      <c r="L22" s="108"/>
      <c r="M22" s="108"/>
      <c r="N22" s="108"/>
      <c r="O22" s="108"/>
      <c r="P22" s="215"/>
    </row>
    <row r="23" spans="1:16" x14ac:dyDescent="0.25">
      <c r="A23" s="102" t="s">
        <v>87</v>
      </c>
      <c r="B23" s="110">
        <f t="shared" ref="B23:I23" si="10">B17+B11</f>
        <v>1325.2729692</v>
      </c>
      <c r="C23" s="110">
        <f t="shared" si="10"/>
        <v>1296.81348566</v>
      </c>
      <c r="D23" s="110">
        <f t="shared" si="10"/>
        <v>1344.5206586100003</v>
      </c>
      <c r="E23" s="154">
        <f t="shared" si="10"/>
        <v>511.50562143302886</v>
      </c>
      <c r="F23" s="154">
        <f t="shared" si="10"/>
        <v>373.05467282440998</v>
      </c>
      <c r="G23" s="154">
        <f t="shared" si="10"/>
        <v>331.76493323325786</v>
      </c>
      <c r="H23" s="154">
        <f t="shared" si="10"/>
        <v>340.216510288461</v>
      </c>
      <c r="I23" s="154">
        <f t="shared" si="10"/>
        <v>348.77590552630636</v>
      </c>
      <c r="J23" s="104">
        <f t="shared" ref="J23:O23" si="11">D23/C23-1</f>
        <v>3.6787998796696808E-2</v>
      </c>
      <c r="K23" s="104">
        <f t="shared" si="11"/>
        <v>-0.61956283962060033</v>
      </c>
      <c r="L23" s="104">
        <f t="shared" si="11"/>
        <v>-0.27067336664010877</v>
      </c>
      <c r="M23" s="104">
        <f t="shared" si="11"/>
        <v>-0.11068012974759445</v>
      </c>
      <c r="N23" s="104">
        <f t="shared" si="11"/>
        <v>2.5474594234047521E-2</v>
      </c>
      <c r="O23" s="104">
        <f t="shared" si="11"/>
        <v>2.5158670960995E-2</v>
      </c>
      <c r="P23" s="162">
        <f>((I23/D23)^(1/5)-1)</f>
        <v>-0.23652327994977418</v>
      </c>
    </row>
    <row r="24" spans="1:16" x14ac:dyDescent="0.25">
      <c r="A24" s="83"/>
      <c r="B24" s="112"/>
      <c r="C24" s="112"/>
      <c r="D24" s="112"/>
      <c r="E24" s="156"/>
      <c r="F24" s="156"/>
      <c r="G24" s="156"/>
      <c r="H24" s="156"/>
      <c r="I24" s="156"/>
      <c r="J24" s="108"/>
      <c r="K24" s="108"/>
      <c r="L24" s="108"/>
      <c r="M24" s="108"/>
      <c r="N24" s="108"/>
      <c r="O24" s="108"/>
      <c r="P24" s="215"/>
    </row>
    <row r="25" spans="1:16" x14ac:dyDescent="0.25">
      <c r="A25" s="102" t="s">
        <v>88</v>
      </c>
      <c r="B25" s="110">
        <f t="shared" ref="B25:I25" si="12">SUM(B26:B29)</f>
        <v>2.8163091599999999</v>
      </c>
      <c r="C25" s="110">
        <f t="shared" si="12"/>
        <v>1.2604966399999999</v>
      </c>
      <c r="D25" s="110">
        <f t="shared" si="12"/>
        <v>1.2555534400000001</v>
      </c>
      <c r="E25" s="154">
        <f t="shared" si="12"/>
        <v>1.2584665437680818</v>
      </c>
      <c r="F25" s="154">
        <f t="shared" si="12"/>
        <v>1.2566146245571344</v>
      </c>
      <c r="G25" s="154">
        <f t="shared" si="12"/>
        <v>1.2636784506585825</v>
      </c>
      <c r="H25" s="154">
        <f t="shared" si="12"/>
        <v>1.2709765491385838</v>
      </c>
      <c r="I25" s="154">
        <f t="shared" si="12"/>
        <v>1.2785166896600044</v>
      </c>
      <c r="J25" s="104">
        <f>D25/C25-1</f>
        <v>-3.9216288589232207E-3</v>
      </c>
      <c r="K25" s="104">
        <f t="shared" ref="K25:O26" si="13">E25/D25-1</f>
        <v>2.3201750521122388E-3</v>
      </c>
      <c r="L25" s="104">
        <f t="shared" si="13"/>
        <v>-1.4715680922294805E-3</v>
      </c>
      <c r="M25" s="104">
        <f t="shared" si="13"/>
        <v>5.6213145728252201E-3</v>
      </c>
      <c r="N25" s="104">
        <f t="shared" si="13"/>
        <v>5.7752812641520546E-3</v>
      </c>
      <c r="O25" s="104">
        <f t="shared" si="13"/>
        <v>5.93255676238158E-3</v>
      </c>
      <c r="P25" s="162">
        <f>((I25/D25)^(1/5)-1)</f>
        <v>3.6313988764882232E-3</v>
      </c>
    </row>
    <row r="26" spans="1:16" x14ac:dyDescent="0.25">
      <c r="A26" s="83" t="s">
        <v>82</v>
      </c>
      <c r="B26" s="213">
        <f>[3]Maladie!$G$128</f>
        <v>0.72655527999999991</v>
      </c>
      <c r="C26" s="213">
        <f>[3]Maladie!$H$128</f>
        <v>0.50093024999999991</v>
      </c>
      <c r="D26" s="213">
        <f>[3]Maladie!$I$128</f>
        <v>0.33524759000000004</v>
      </c>
      <c r="E26" s="213">
        <f>[3]Maladie!$R$128</f>
        <v>0.3372646313468658</v>
      </c>
      <c r="F26" s="213">
        <f>[3]Maladie!$W$128</f>
        <v>0.33598235721009673</v>
      </c>
      <c r="G26" s="213">
        <f>[3]Maladie!$AB$128</f>
        <v>0.34087337052373257</v>
      </c>
      <c r="H26" s="213">
        <f>[3]Maladie!$AG$128</f>
        <v>0.34592659469959314</v>
      </c>
      <c r="I26" s="213">
        <f>[3]Maladie!$AL$128</f>
        <v>0.35114740947437845</v>
      </c>
      <c r="J26" s="108">
        <f>D26/C26-1</f>
        <v>-0.330749959699978</v>
      </c>
      <c r="K26" s="108">
        <f t="shared" si="13"/>
        <v>6.0165722499772034E-3</v>
      </c>
      <c r="L26" s="108">
        <f t="shared" si="13"/>
        <v>-3.8019822346870846E-3</v>
      </c>
      <c r="M26" s="108">
        <f t="shared" si="13"/>
        <v>1.4557351624797876E-2</v>
      </c>
      <c r="N26" s="108">
        <f t="shared" si="13"/>
        <v>1.4824344207635232E-2</v>
      </c>
      <c r="O26" s="108">
        <f t="shared" si="13"/>
        <v>1.5092261927184714E-2</v>
      </c>
    </row>
    <row r="27" spans="1:16" x14ac:dyDescent="0.25">
      <c r="A27" s="83" t="s">
        <v>83</v>
      </c>
      <c r="B27" s="213">
        <f>[3]AT!$G$74</f>
        <v>1.30577506</v>
      </c>
      <c r="C27" s="213">
        <f>[3]AT!$H$74</f>
        <v>0.23859891</v>
      </c>
      <c r="D27" s="213">
        <f>[3]AT!$I$74</f>
        <v>0.54995190999999999</v>
      </c>
      <c r="E27" s="213">
        <f>[3]AT!$R$74</f>
        <v>0.54995190999999999</v>
      </c>
      <c r="F27" s="213">
        <f>[3]AT!$W$74</f>
        <v>0.54995190999999999</v>
      </c>
      <c r="G27" s="213">
        <f>[3]AT!$AB$74</f>
        <v>0.54995190999999999</v>
      </c>
      <c r="H27" s="213">
        <f>[3]AT!$AG$74</f>
        <v>0.54995190999999999</v>
      </c>
      <c r="I27" s="213">
        <f>[3]AT!$AL$74</f>
        <v>0.54995190999999999</v>
      </c>
      <c r="J27" s="108">
        <f>D27/C27-1</f>
        <v>1.3049221389988745</v>
      </c>
      <c r="K27" s="108">
        <f>E27/C27-1</f>
        <v>1.3049221389988745</v>
      </c>
      <c r="L27" s="108">
        <f>F27/E27-1</f>
        <v>0</v>
      </c>
      <c r="M27" s="108">
        <f t="shared" ref="M27:O29" si="14">G27/F27-1</f>
        <v>0</v>
      </c>
      <c r="N27" s="108">
        <f t="shared" si="14"/>
        <v>0</v>
      </c>
      <c r="O27" s="108">
        <f t="shared" si="14"/>
        <v>0</v>
      </c>
    </row>
    <row r="28" spans="1:16" x14ac:dyDescent="0.25">
      <c r="A28" s="83" t="s">
        <v>84</v>
      </c>
      <c r="B28" s="213">
        <f>[3]Famille!$G$68</f>
        <v>0.43593316999999998</v>
      </c>
      <c r="C28" s="213">
        <f>[3]Famille!$H$68</f>
        <v>0.29483323</v>
      </c>
      <c r="D28" s="213">
        <f>[3]Famille!$I$68</f>
        <v>0.22142157000000001</v>
      </c>
      <c r="E28" s="213">
        <f>[3]Famille!$R$68</f>
        <v>0.22142157000000001</v>
      </c>
      <c r="F28" s="213">
        <f>[3]Famille!$W$68</f>
        <v>0.22142157000000001</v>
      </c>
      <c r="G28" s="213">
        <f>[3]Famille!$AB$68</f>
        <v>0.22142157000000001</v>
      </c>
      <c r="H28" s="213">
        <f>[3]Famille!$AG$68</f>
        <v>0.22142157000000001</v>
      </c>
      <c r="I28" s="213">
        <f>[3]Famille!$AL$68</f>
        <v>0.22142157000000001</v>
      </c>
      <c r="J28" s="108">
        <f>D28/C28-1</f>
        <v>-0.24899384645346789</v>
      </c>
      <c r="K28" s="108">
        <f>E28/D28-1</f>
        <v>0</v>
      </c>
      <c r="L28" s="108">
        <f>F28/E28-1</f>
        <v>0</v>
      </c>
      <c r="M28" s="108">
        <f t="shared" si="14"/>
        <v>0</v>
      </c>
      <c r="N28" s="108">
        <f t="shared" si="14"/>
        <v>0</v>
      </c>
      <c r="O28" s="108">
        <f t="shared" si="14"/>
        <v>0</v>
      </c>
    </row>
    <row r="29" spans="1:16" x14ac:dyDescent="0.25">
      <c r="A29" s="83" t="s">
        <v>85</v>
      </c>
      <c r="B29" s="213">
        <f>[3]Vieillesse!$G$83</f>
        <v>0.34804565000000004</v>
      </c>
      <c r="C29" s="213">
        <f>[3]Vieillesse!$H$83</f>
        <v>0.22613424999999998</v>
      </c>
      <c r="D29" s="213">
        <f>[3]Vieillesse!$I$83</f>
        <v>0.14893236999999998</v>
      </c>
      <c r="E29" s="213">
        <f>[3]Vieillesse!$R$83</f>
        <v>0.14982843242121593</v>
      </c>
      <c r="F29" s="213">
        <f>[3]Vieillesse!$W$83</f>
        <v>0.14925878734703771</v>
      </c>
      <c r="G29" s="213">
        <f>[3]Vieillesse!$AB$83</f>
        <v>0.15143160013484988</v>
      </c>
      <c r="H29" s="213">
        <f>[3]Vieillesse!$AG$83</f>
        <v>0.15367647443899063</v>
      </c>
      <c r="I29" s="213">
        <f>[3]Vieillesse!$AL$83</f>
        <v>0.15599580018562603</v>
      </c>
      <c r="J29" s="108">
        <f>D29/C29-1</f>
        <v>-0.34139843920149204</v>
      </c>
      <c r="K29" s="108">
        <f>E29/D29-1</f>
        <v>6.0165726310268397E-3</v>
      </c>
      <c r="L29" s="108">
        <f>F29/E29-1</f>
        <v>-3.8019824740391783E-3</v>
      </c>
      <c r="M29" s="108">
        <f t="shared" si="14"/>
        <v>1.4557352544746438E-2</v>
      </c>
      <c r="N29" s="108">
        <f t="shared" si="14"/>
        <v>1.4824345131014161E-2</v>
      </c>
      <c r="O29" s="108">
        <f t="shared" si="14"/>
        <v>1.50922628535195E-2</v>
      </c>
    </row>
    <row r="30" spans="1:16" x14ac:dyDescent="0.25">
      <c r="A30" s="105"/>
      <c r="B30" s="113"/>
      <c r="C30" s="113"/>
      <c r="D30" s="113"/>
      <c r="E30" s="157"/>
      <c r="F30" s="157"/>
      <c r="G30" s="157"/>
      <c r="H30" s="157"/>
      <c r="I30" s="157"/>
      <c r="J30" s="107"/>
      <c r="K30" s="107"/>
      <c r="L30" s="107"/>
      <c r="M30" s="107"/>
      <c r="N30" s="107"/>
      <c r="O30" s="107"/>
      <c r="P30" s="215"/>
    </row>
    <row r="31" spans="1:16" x14ac:dyDescent="0.25">
      <c r="A31" s="102" t="s">
        <v>89</v>
      </c>
      <c r="B31" s="110">
        <f t="shared" ref="B31:I31" si="15">SUM(B32:B35)</f>
        <v>8.0418583600000009</v>
      </c>
      <c r="C31" s="110">
        <f t="shared" si="15"/>
        <v>3.1683161599999998</v>
      </c>
      <c r="D31" s="110">
        <f t="shared" si="15"/>
        <v>3.9295794599999994</v>
      </c>
      <c r="E31" s="154">
        <f t="shared" si="15"/>
        <v>3.9295794599999994</v>
      </c>
      <c r="F31" s="154">
        <f t="shared" si="15"/>
        <v>3.9295794599999994</v>
      </c>
      <c r="G31" s="154">
        <f t="shared" si="15"/>
        <v>3.9295794599999994</v>
      </c>
      <c r="H31" s="154">
        <f t="shared" si="15"/>
        <v>3.9295794599999994</v>
      </c>
      <c r="I31" s="154">
        <f t="shared" si="15"/>
        <v>3.9295794599999994</v>
      </c>
      <c r="J31" s="104">
        <f>D31/C31-1</f>
        <v>0.24027378000054123</v>
      </c>
      <c r="K31" s="104">
        <f t="shared" ref="K31:O35" si="16">E31/D31-1</f>
        <v>0</v>
      </c>
      <c r="L31" s="104">
        <f t="shared" si="16"/>
        <v>0</v>
      </c>
      <c r="M31" s="104">
        <f t="shared" si="16"/>
        <v>0</v>
      </c>
      <c r="N31" s="104">
        <f t="shared" si="16"/>
        <v>0</v>
      </c>
      <c r="O31" s="104">
        <f t="shared" si="16"/>
        <v>0</v>
      </c>
      <c r="P31" s="162">
        <f>((I31/D31)^(1/5)-1)</f>
        <v>0</v>
      </c>
    </row>
    <row r="32" spans="1:16" x14ac:dyDescent="0.25">
      <c r="A32" s="83" t="s">
        <v>82</v>
      </c>
      <c r="B32" s="213">
        <f>[3]Maladie!$G$141</f>
        <v>0.85241372999999998</v>
      </c>
      <c r="C32" s="213">
        <f>[3]Maladie!$H$141</f>
        <v>1.4702144100000001</v>
      </c>
      <c r="D32" s="213">
        <f>[3]Maladie!$I$141</f>
        <v>1.7763031099999997</v>
      </c>
      <c r="E32" s="213">
        <f>[3]Maladie!$R$141</f>
        <v>1.7763031099999997</v>
      </c>
      <c r="F32" s="213">
        <f>[3]Maladie!$W$141</f>
        <v>1.7763031099999997</v>
      </c>
      <c r="G32" s="213">
        <f>[3]Maladie!$AB$141</f>
        <v>1.7763031099999997</v>
      </c>
      <c r="H32" s="213">
        <f>[3]Maladie!$AG$141</f>
        <v>1.7763031099999997</v>
      </c>
      <c r="I32" s="213">
        <f>[3]Maladie!$AL$141</f>
        <v>1.7763031099999997</v>
      </c>
      <c r="J32" s="108">
        <f>D32/C32-1</f>
        <v>0.20819323897117803</v>
      </c>
      <c r="K32" s="108">
        <f t="shared" si="16"/>
        <v>0</v>
      </c>
      <c r="L32" s="108">
        <f t="shared" si="16"/>
        <v>0</v>
      </c>
      <c r="M32" s="108">
        <f t="shared" si="16"/>
        <v>0</v>
      </c>
      <c r="N32" s="108">
        <f t="shared" si="16"/>
        <v>0</v>
      </c>
      <c r="O32" s="108">
        <f t="shared" si="16"/>
        <v>0</v>
      </c>
    </row>
    <row r="33" spans="1:16" x14ac:dyDescent="0.25">
      <c r="A33" s="83" t="s">
        <v>83</v>
      </c>
      <c r="B33" s="213">
        <f>[3]AT!$G$86</f>
        <v>6.2722400300000007</v>
      </c>
      <c r="C33" s="213">
        <f>[3]AT!$H$86</f>
        <v>0.17044961</v>
      </c>
      <c r="D33" s="213">
        <f>[3]AT!$I$86</f>
        <v>0.20006372</v>
      </c>
      <c r="E33" s="213">
        <f>[3]AT!$R$86</f>
        <v>0.20006372</v>
      </c>
      <c r="F33" s="213">
        <f>[3]AT!$W$86</f>
        <v>0.20006372</v>
      </c>
      <c r="G33" s="213">
        <f>[3]AT!$AB$86</f>
        <v>0.20006372</v>
      </c>
      <c r="H33" s="213">
        <f>[3]AT!$AG$86</f>
        <v>0.20006372</v>
      </c>
      <c r="I33" s="213">
        <f>[3]AT!$AL$86</f>
        <v>0.20006372</v>
      </c>
      <c r="J33" s="108">
        <f>D33/C33-1</f>
        <v>0.17374114261687068</v>
      </c>
      <c r="K33" s="108">
        <f t="shared" si="16"/>
        <v>0</v>
      </c>
      <c r="L33" s="108">
        <f t="shared" si="16"/>
        <v>0</v>
      </c>
      <c r="M33" s="108">
        <f t="shared" si="16"/>
        <v>0</v>
      </c>
      <c r="N33" s="108">
        <f t="shared" si="16"/>
        <v>0</v>
      </c>
      <c r="O33" s="108">
        <f t="shared" si="16"/>
        <v>0</v>
      </c>
    </row>
    <row r="34" spans="1:16" x14ac:dyDescent="0.25">
      <c r="A34" s="83" t="s">
        <v>84</v>
      </c>
      <c r="B34" s="213">
        <f>[3]Famille!$G$79</f>
        <v>0.50997475999999997</v>
      </c>
      <c r="C34" s="213">
        <f>[3]Famille!$H$79</f>
        <v>0.86455042000000004</v>
      </c>
      <c r="D34" s="213">
        <f>[3]Famille!$I$79</f>
        <v>1.1677566599999998</v>
      </c>
      <c r="E34" s="213">
        <f>[3]Famille!$R$79</f>
        <v>1.1677566599999998</v>
      </c>
      <c r="F34" s="213">
        <f>[3]Famille!$W$79</f>
        <v>1.1677566599999998</v>
      </c>
      <c r="G34" s="213">
        <f>[3]Famille!$AB$79</f>
        <v>1.1677566599999998</v>
      </c>
      <c r="H34" s="213">
        <f>[3]Famille!$AG$79</f>
        <v>1.1677566599999998</v>
      </c>
      <c r="I34" s="213">
        <f>[3]Famille!$AL$79</f>
        <v>1.1677566599999998</v>
      </c>
      <c r="J34" s="108">
        <f>D34/C34-1</f>
        <v>0.35070972494582753</v>
      </c>
      <c r="K34" s="108">
        <f t="shared" si="16"/>
        <v>0</v>
      </c>
      <c r="L34" s="108">
        <f t="shared" si="16"/>
        <v>0</v>
      </c>
      <c r="M34" s="108">
        <f t="shared" si="16"/>
        <v>0</v>
      </c>
      <c r="N34" s="108">
        <f t="shared" si="16"/>
        <v>0</v>
      </c>
      <c r="O34" s="108">
        <f t="shared" si="16"/>
        <v>0</v>
      </c>
    </row>
    <row r="35" spans="1:16" x14ac:dyDescent="0.25">
      <c r="A35" s="83" t="s">
        <v>85</v>
      </c>
      <c r="B35" s="213">
        <f>[3]Vieillesse!$G$94</f>
        <v>0.40722984000000001</v>
      </c>
      <c r="C35" s="213">
        <f>[3]Vieillesse!$H$94</f>
        <v>0.66310172000000001</v>
      </c>
      <c r="D35" s="213">
        <f>[3]Vieillesse!$I$94</f>
        <v>0.78545597</v>
      </c>
      <c r="E35" s="213">
        <f>[3]Vieillesse!$R$94</f>
        <v>0.78545597</v>
      </c>
      <c r="F35" s="213">
        <f>[3]Vieillesse!$W$94</f>
        <v>0.78545597</v>
      </c>
      <c r="G35" s="213">
        <f>[3]Vieillesse!$AB$94</f>
        <v>0.78545597</v>
      </c>
      <c r="H35" s="213">
        <f>[3]Vieillesse!$AG$94</f>
        <v>0.78545597</v>
      </c>
      <c r="I35" s="213">
        <f>[3]Vieillesse!$AL$94</f>
        <v>0.78545597</v>
      </c>
      <c r="J35" s="108">
        <f>D35/C35-1</f>
        <v>0.18451807062120129</v>
      </c>
      <c r="K35" s="108">
        <f t="shared" si="16"/>
        <v>0</v>
      </c>
      <c r="L35" s="108">
        <f t="shared" si="16"/>
        <v>0</v>
      </c>
      <c r="M35" s="108">
        <f t="shared" si="16"/>
        <v>0</v>
      </c>
      <c r="N35" s="108">
        <f t="shared" si="16"/>
        <v>0</v>
      </c>
      <c r="O35" s="108">
        <f t="shared" si="16"/>
        <v>0</v>
      </c>
    </row>
    <row r="36" spans="1:16" x14ac:dyDescent="0.25">
      <c r="A36" s="105"/>
      <c r="B36" s="113"/>
      <c r="C36" s="113"/>
      <c r="D36" s="113"/>
      <c r="E36" s="157"/>
      <c r="F36" s="157"/>
      <c r="G36" s="157"/>
      <c r="H36" s="157"/>
      <c r="I36" s="157"/>
      <c r="J36" s="107"/>
      <c r="K36" s="107"/>
      <c r="L36" s="107"/>
      <c r="M36" s="107"/>
      <c r="N36" s="107"/>
      <c r="O36" s="107"/>
      <c r="P36" s="215"/>
    </row>
    <row r="37" spans="1:16" x14ac:dyDescent="0.25">
      <c r="A37" s="102" t="s">
        <v>90</v>
      </c>
      <c r="B37" s="110">
        <f t="shared" ref="B37:I37" si="17">SUM(B38:B41)</f>
        <v>704.28052840999987</v>
      </c>
      <c r="C37" s="110">
        <f t="shared" si="17"/>
        <v>725.18212462999998</v>
      </c>
      <c r="D37" s="110">
        <f t="shared" si="17"/>
        <v>768.3705964799999</v>
      </c>
      <c r="E37" s="154">
        <f t="shared" si="17"/>
        <v>784.80558581666435</v>
      </c>
      <c r="F37" s="154">
        <f t="shared" si="17"/>
        <v>807.34664267950347</v>
      </c>
      <c r="G37" s="154">
        <f t="shared" si="17"/>
        <v>830.4664457775807</v>
      </c>
      <c r="H37" s="154">
        <f t="shared" si="17"/>
        <v>850.16646435837504</v>
      </c>
      <c r="I37" s="154">
        <f t="shared" si="17"/>
        <v>869.91998750626863</v>
      </c>
      <c r="J37" s="104">
        <f>D37/C37-1</f>
        <v>5.9555345316923525E-2</v>
      </c>
      <c r="K37" s="104">
        <f t="shared" ref="K37:O41" si="18">E37/D37-1</f>
        <v>2.1389404295212744E-2</v>
      </c>
      <c r="L37" s="104">
        <f t="shared" si="18"/>
        <v>2.8721835407660823E-2</v>
      </c>
      <c r="M37" s="104">
        <f t="shared" si="18"/>
        <v>2.8636773692827688E-2</v>
      </c>
      <c r="N37" s="104">
        <f t="shared" si="18"/>
        <v>2.3721630995396703E-2</v>
      </c>
      <c r="O37" s="104">
        <f t="shared" si="18"/>
        <v>2.3234888667128972E-2</v>
      </c>
      <c r="P37" s="162">
        <f>((I37/D37)^(1/5)-1)</f>
        <v>2.5136541517699174E-2</v>
      </c>
    </row>
    <row r="38" spans="1:16" x14ac:dyDescent="0.25">
      <c r="A38" s="83" t="s">
        <v>82</v>
      </c>
      <c r="B38" s="213">
        <f>[3]Maladie!$G$99</f>
        <v>356.13256165999996</v>
      </c>
      <c r="C38" s="213">
        <f>[3]Maladie!$H$99</f>
        <v>364.22545187000003</v>
      </c>
      <c r="D38" s="213">
        <f>[3]Maladie!$I$99</f>
        <v>406.35925606999996</v>
      </c>
      <c r="E38" s="213">
        <f>[3]Maladie!$R$99</f>
        <v>423.63532309688054</v>
      </c>
      <c r="F38" s="213">
        <f>[3]Maladie!$W$99</f>
        <v>428.95772413525953</v>
      </c>
      <c r="G38" s="213">
        <f>[3]Maladie!$AB$99</f>
        <v>441.73757456642187</v>
      </c>
      <c r="H38" s="213">
        <f>[3]Maladie!$AG$99</f>
        <v>452.94521671261913</v>
      </c>
      <c r="I38" s="213">
        <f>[3]Maladie!$AL$99</f>
        <v>464.40869264039992</v>
      </c>
      <c r="J38" s="108">
        <f>D38/C38-1</f>
        <v>0.1156805598940911</v>
      </c>
      <c r="K38" s="108">
        <f t="shared" si="18"/>
        <v>4.2514269747320865E-2</v>
      </c>
      <c r="L38" s="108">
        <f t="shared" si="18"/>
        <v>1.2563638460246551E-2</v>
      </c>
      <c r="M38" s="108">
        <f t="shared" si="18"/>
        <v>2.9792797080237632E-2</v>
      </c>
      <c r="N38" s="108">
        <f t="shared" si="18"/>
        <v>2.537172020559475E-2</v>
      </c>
      <c r="O38" s="108">
        <f t="shared" si="18"/>
        <v>2.5308747073167659E-2</v>
      </c>
    </row>
    <row r="39" spans="1:16" x14ac:dyDescent="0.25">
      <c r="A39" s="83" t="s">
        <v>83</v>
      </c>
      <c r="B39" s="213">
        <f>[3]AT!$G$55</f>
        <v>87.839929530000006</v>
      </c>
      <c r="C39" s="213">
        <f>[3]AT!$H$55</f>
        <v>91.39504912000001</v>
      </c>
      <c r="D39" s="213">
        <f>[3]AT!$I$55</f>
        <v>88.542911910000001</v>
      </c>
      <c r="E39" s="213">
        <f>[3]AT!$R$55</f>
        <v>89.533234391008662</v>
      </c>
      <c r="F39" s="213">
        <f>[3]AT!$W$55</f>
        <v>93.339449505143534</v>
      </c>
      <c r="G39" s="213">
        <f>[3]AT!$AB$55</f>
        <v>96.299388196124482</v>
      </c>
      <c r="H39" s="213">
        <f>[3]AT!$AG$55</f>
        <v>97.741630090166893</v>
      </c>
      <c r="I39" s="213">
        <f>[3]AT!$AL$55</f>
        <v>99.443896499556502</v>
      </c>
      <c r="J39" s="108">
        <f>D39/C39-1</f>
        <v>-3.1206692676046477E-2</v>
      </c>
      <c r="K39" s="108">
        <f>E39/D39-1</f>
        <v>1.1184661308804467E-2</v>
      </c>
      <c r="L39" s="108">
        <f>F39/E39-1</f>
        <v>4.2511757114820803E-2</v>
      </c>
      <c r="M39" s="108">
        <f>G39/F39-1</f>
        <v>3.1711550760944229E-2</v>
      </c>
      <c r="N39" s="108">
        <f>H39/G39-1</f>
        <v>1.4976646488190859E-2</v>
      </c>
      <c r="O39" s="108">
        <f>I39/H39-1</f>
        <v>1.7415981376812217E-2</v>
      </c>
    </row>
    <row r="40" spans="1:16" x14ac:dyDescent="0.25">
      <c r="A40" s="83" t="s">
        <v>84</v>
      </c>
      <c r="B40" s="213">
        <f>[3]Famille!$G$61</f>
        <v>77.506083009999998</v>
      </c>
      <c r="C40" s="213">
        <f>[3]Famille!$H$61</f>
        <v>78.128998980000006</v>
      </c>
      <c r="D40" s="213">
        <f>[3]Famille!$I$61</f>
        <v>82.129702340000009</v>
      </c>
      <c r="E40" s="213">
        <f>[3]Famille!$R$61</f>
        <v>79.624833510359025</v>
      </c>
      <c r="F40" s="213">
        <f>[3]Famille!$W$61</f>
        <v>83.754193575256835</v>
      </c>
      <c r="G40" s="213">
        <f>[3]Famille!$AB$61</f>
        <v>85.037203059909586</v>
      </c>
      <c r="H40" s="213">
        <f>[3]Famille!$AG$61</f>
        <v>86.275893122289887</v>
      </c>
      <c r="I40" s="213">
        <f>[3]Famille!$AL$61</f>
        <v>87.392783342721643</v>
      </c>
      <c r="J40" s="108">
        <f>D40/C40-1</f>
        <v>5.1206381909796761E-2</v>
      </c>
      <c r="K40" s="108">
        <f t="shared" si="18"/>
        <v>-3.0498939583043172E-2</v>
      </c>
      <c r="L40" s="108">
        <f t="shared" si="18"/>
        <v>5.1860203442191111E-2</v>
      </c>
      <c r="M40" s="108">
        <f t="shared" si="18"/>
        <v>1.5318749185972536E-2</v>
      </c>
      <c r="N40" s="108">
        <f t="shared" si="18"/>
        <v>1.4566448775456875E-2</v>
      </c>
      <c r="O40" s="108">
        <f t="shared" si="18"/>
        <v>1.2945565441422335E-2</v>
      </c>
    </row>
    <row r="41" spans="1:16" x14ac:dyDescent="0.25">
      <c r="A41" s="83" t="s">
        <v>85</v>
      </c>
      <c r="B41" s="213">
        <f>[3]Vieillesse!$G$71</f>
        <v>182.80195420999999</v>
      </c>
      <c r="C41" s="213">
        <f>[3]Vieillesse!$H$71</f>
        <v>191.43262465999999</v>
      </c>
      <c r="D41" s="213">
        <f>[3]Vieillesse!$I$71</f>
        <v>191.33872616000002</v>
      </c>
      <c r="E41" s="213">
        <f>[3]Vieillesse!$R$71</f>
        <v>192.01219481841611</v>
      </c>
      <c r="F41" s="213">
        <f>[3]Vieillesse!$W$71</f>
        <v>201.29527546384347</v>
      </c>
      <c r="G41" s="213">
        <f>[3]Vieillesse!$AB$71</f>
        <v>207.39227995512465</v>
      </c>
      <c r="H41" s="213">
        <f>[3]Vieillesse!$AG$71</f>
        <v>213.20372443329916</v>
      </c>
      <c r="I41" s="213">
        <f>[3]Vieillesse!$AL$71</f>
        <v>218.67461502359066</v>
      </c>
      <c r="J41" s="108">
        <f>D41/C41-1</f>
        <v>-4.9050416650109341E-4</v>
      </c>
      <c r="K41" s="108">
        <f t="shared" si="18"/>
        <v>3.519771830470475E-3</v>
      </c>
      <c r="L41" s="108">
        <f t="shared" si="18"/>
        <v>4.8346307661376819E-2</v>
      </c>
      <c r="M41" s="108">
        <f t="shared" si="18"/>
        <v>3.0288860368093085E-2</v>
      </c>
      <c r="N41" s="108">
        <f t="shared" si="18"/>
        <v>2.8021508223121883E-2</v>
      </c>
      <c r="O41" s="108">
        <f t="shared" si="18"/>
        <v>2.5660389399074779E-2</v>
      </c>
    </row>
    <row r="42" spans="1:16" x14ac:dyDescent="0.25">
      <c r="A42" s="83"/>
      <c r="B42" s="111"/>
      <c r="C42" s="111"/>
      <c r="D42" s="111"/>
      <c r="E42" s="155"/>
      <c r="F42" s="155"/>
      <c r="G42" s="155"/>
      <c r="H42" s="155"/>
      <c r="I42" s="155"/>
      <c r="J42" s="108"/>
      <c r="K42" s="108"/>
      <c r="L42" s="108"/>
      <c r="M42" s="108"/>
      <c r="N42" s="108"/>
      <c r="O42" s="108"/>
      <c r="P42" s="215"/>
    </row>
    <row r="43" spans="1:16" x14ac:dyDescent="0.25">
      <c r="A43" s="102" t="s">
        <v>91</v>
      </c>
      <c r="B43" s="110">
        <f t="shared" ref="B43:I43" si="19">SUM(B44:B47)</f>
        <v>675.10933552999995</v>
      </c>
      <c r="C43" s="110">
        <f t="shared" si="19"/>
        <v>673.87784542999998</v>
      </c>
      <c r="D43" s="110">
        <f t="shared" si="19"/>
        <v>674.62064320000002</v>
      </c>
      <c r="E43" s="154">
        <f t="shared" si="19"/>
        <v>664.48719095975616</v>
      </c>
      <c r="F43" s="154">
        <f t="shared" si="19"/>
        <v>657.09643148660473</v>
      </c>
      <c r="G43" s="154">
        <f t="shared" si="19"/>
        <v>648.88278636003326</v>
      </c>
      <c r="H43" s="154">
        <f t="shared" si="19"/>
        <v>640.85436418982169</v>
      </c>
      <c r="I43" s="154">
        <f t="shared" si="19"/>
        <v>633.00602963537392</v>
      </c>
      <c r="J43" s="104">
        <f>D43/C43-1</f>
        <v>1.1022736168542213E-3</v>
      </c>
      <c r="K43" s="104">
        <f t="shared" ref="K43:O47" si="20">E43/D43-1</f>
        <v>-1.5020963770359552E-2</v>
      </c>
      <c r="L43" s="104">
        <f t="shared" si="20"/>
        <v>-1.1122501040955468E-2</v>
      </c>
      <c r="M43" s="104">
        <f t="shared" si="20"/>
        <v>-1.2499908282851302E-2</v>
      </c>
      <c r="N43" s="104">
        <f t="shared" si="20"/>
        <v>-1.2372684772927522E-2</v>
      </c>
      <c r="O43" s="104">
        <f t="shared" si="20"/>
        <v>-1.2246674116622058E-2</v>
      </c>
      <c r="P43" s="162">
        <f>((I43/D43)^(1/5)-1)</f>
        <v>-1.2653379264436215E-2</v>
      </c>
    </row>
    <row r="44" spans="1:16" x14ac:dyDescent="0.25">
      <c r="A44" s="83" t="s">
        <v>82</v>
      </c>
      <c r="B44" s="213">
        <f>[3]Maladie!$G$134</f>
        <v>320.17435343</v>
      </c>
      <c r="C44" s="213">
        <f>[3]Maladie!$H$134</f>
        <v>324.43504639000002</v>
      </c>
      <c r="D44" s="213">
        <f>[3]Maladie!$I$134</f>
        <v>317.35087403</v>
      </c>
      <c r="E44" s="213">
        <f>[3]Maladie!$R$134</f>
        <v>312.56394589224891</v>
      </c>
      <c r="F44" s="213">
        <f>[3]Maladie!$W$134</f>
        <v>309.0871310777772</v>
      </c>
      <c r="G44" s="213">
        <f>[3]Maladie!$AB$134</f>
        <v>305.21402044914936</v>
      </c>
      <c r="H44" s="213">
        <f>[3]Maladie!$AG$134</f>
        <v>301.42838795884023</v>
      </c>
      <c r="I44" s="213">
        <f>[3]Maladie!$AL$134</f>
        <v>297.72780685665361</v>
      </c>
      <c r="J44" s="108">
        <f>D44/C44-1</f>
        <v>-2.1835410319649085E-2</v>
      </c>
      <c r="K44" s="108">
        <f t="shared" si="20"/>
        <v>-1.5084023802936053E-2</v>
      </c>
      <c r="L44" s="108">
        <f t="shared" si="20"/>
        <v>-1.1123531233094508E-2</v>
      </c>
      <c r="M44" s="108">
        <f t="shared" si="20"/>
        <v>-1.2530805197623174E-2</v>
      </c>
      <c r="N44" s="108">
        <f t="shared" si="20"/>
        <v>-1.2403206395100175E-2</v>
      </c>
      <c r="O44" s="108">
        <f t="shared" si="20"/>
        <v>-1.2276816816244707E-2</v>
      </c>
    </row>
    <row r="45" spans="1:16" x14ac:dyDescent="0.25">
      <c r="A45" s="83" t="s">
        <v>83</v>
      </c>
      <c r="B45" s="213">
        <f>[3]AT!$G$80</f>
        <v>54.057931779999997</v>
      </c>
      <c r="C45" s="213">
        <f>[3]AT!$H$80</f>
        <v>52.858863759999998</v>
      </c>
      <c r="D45" s="213">
        <f>[3]AT!$I$80</f>
        <v>51.616929500000005</v>
      </c>
      <c r="E45" s="213">
        <f>[3]AT!$R$80</f>
        <v>50.928337966619594</v>
      </c>
      <c r="F45" s="213">
        <f>[3]AT!$W$80</f>
        <v>50.363283216561229</v>
      </c>
      <c r="G45" s="213">
        <f>[3]AT!$AB$80</f>
        <v>49.775141431695801</v>
      </c>
      <c r="H45" s="213">
        <f>[3]AT!$AG$80</f>
        <v>49.199668721550822</v>
      </c>
      <c r="I45" s="213">
        <f>[3]AT!$AL$80</f>
        <v>48.636519913789414</v>
      </c>
      <c r="J45" s="108">
        <f>D45/C45-1</f>
        <v>-2.3495288616850796E-2</v>
      </c>
      <c r="K45" s="108">
        <f t="shared" si="20"/>
        <v>-1.3340420285565591E-2</v>
      </c>
      <c r="L45" s="108">
        <f t="shared" si="20"/>
        <v>-1.1095095041756986E-2</v>
      </c>
      <c r="M45" s="108">
        <f t="shared" si="20"/>
        <v>-1.1677987361078723E-2</v>
      </c>
      <c r="N45" s="108">
        <f t="shared" si="20"/>
        <v>-1.1561448015867004E-2</v>
      </c>
      <c r="O45" s="108">
        <f t="shared" si="20"/>
        <v>-1.1446191049549359E-2</v>
      </c>
    </row>
    <row r="46" spans="1:16" x14ac:dyDescent="0.25">
      <c r="A46" s="83" t="s">
        <v>84</v>
      </c>
      <c r="B46" s="213">
        <f>[3]Famille!$G$72</f>
        <v>167.28169251999998</v>
      </c>
      <c r="C46" s="213">
        <f>[3]Famille!$H$72</f>
        <v>167.94094285</v>
      </c>
      <c r="D46" s="213">
        <f>[3]Famille!$I$72</f>
        <v>182.66916549999999</v>
      </c>
      <c r="E46" s="213">
        <f>[3]Famille!$R$72</f>
        <v>179.88746585002306</v>
      </c>
      <c r="F46" s="213">
        <f>[3]Famille!$W$72</f>
        <v>177.88605858511426</v>
      </c>
      <c r="G46" s="213">
        <f>[3]Famille!$AB$72</f>
        <v>175.64444531655116</v>
      </c>
      <c r="H46" s="213">
        <f>[3]Famille!$AG$72</f>
        <v>173.45364088545099</v>
      </c>
      <c r="I46" s="213">
        <f>[3]Famille!$AL$72</f>
        <v>171.31223395566104</v>
      </c>
      <c r="J46" s="108">
        <f>D46/C46-1</f>
        <v>8.7698820788179255E-2</v>
      </c>
      <c r="K46" s="108">
        <f t="shared" si="20"/>
        <v>-1.5228074439180173E-2</v>
      </c>
      <c r="L46" s="108">
        <f t="shared" si="20"/>
        <v>-1.1125885038468675E-2</v>
      </c>
      <c r="M46" s="108">
        <f t="shared" si="20"/>
        <v>-1.2601399381113043E-2</v>
      </c>
      <c r="N46" s="108">
        <f t="shared" si="20"/>
        <v>-1.2472950266954608E-2</v>
      </c>
      <c r="O46" s="108">
        <f t="shared" si="20"/>
        <v>-1.2345701818989974E-2</v>
      </c>
    </row>
    <row r="47" spans="1:16" x14ac:dyDescent="0.25">
      <c r="A47" s="83" t="s">
        <v>85</v>
      </c>
      <c r="B47" s="213">
        <f>[3]Vieillesse!$G$87</f>
        <v>133.59535780000002</v>
      </c>
      <c r="C47" s="213">
        <f>[3]Vieillesse!$H$87</f>
        <v>128.64299242999999</v>
      </c>
      <c r="D47" s="213">
        <f>[3]Vieillesse!$I$87</f>
        <v>122.98367417</v>
      </c>
      <c r="E47" s="213">
        <f>[3]Vieillesse!$R$87</f>
        <v>121.10744125086453</v>
      </c>
      <c r="F47" s="213">
        <f>[3]Vieillesse!$W$87</f>
        <v>119.75995860715204</v>
      </c>
      <c r="G47" s="213">
        <f>[3]Vieillesse!$AB$87</f>
        <v>118.24917916263703</v>
      </c>
      <c r="H47" s="213">
        <f>[3]Vieillesse!$AG$87</f>
        <v>116.77266662397963</v>
      </c>
      <c r="I47" s="213">
        <f>[3]Vieillesse!$AL$87</f>
        <v>115.32946890926982</v>
      </c>
      <c r="J47" s="108">
        <f>D47/C47-1</f>
        <v>-4.3992433268990272E-2</v>
      </c>
      <c r="K47" s="108">
        <f t="shared" si="20"/>
        <v>-1.5255951099183762E-2</v>
      </c>
      <c r="L47" s="108">
        <f t="shared" si="20"/>
        <v>-1.112634062609974E-2</v>
      </c>
      <c r="M47" s="108">
        <f t="shared" si="20"/>
        <v>-1.2615063182100927E-2</v>
      </c>
      <c r="N47" s="108">
        <f t="shared" si="20"/>
        <v>-1.2486450638499957E-2</v>
      </c>
      <c r="O47" s="108">
        <f t="shared" si="20"/>
        <v>-1.2359037062646405E-2</v>
      </c>
    </row>
    <row r="48" spans="1:16" x14ac:dyDescent="0.25">
      <c r="A48" s="83"/>
      <c r="B48" s="111"/>
      <c r="C48" s="111"/>
      <c r="D48" s="111"/>
      <c r="E48" s="155"/>
      <c r="F48" s="155"/>
      <c r="G48" s="155"/>
      <c r="H48" s="155"/>
      <c r="I48" s="155"/>
      <c r="J48" s="108"/>
      <c r="K48" s="108"/>
      <c r="L48" s="108"/>
      <c r="M48" s="108"/>
      <c r="N48" s="108"/>
      <c r="O48" s="108"/>
    </row>
    <row r="49" spans="1:16" x14ac:dyDescent="0.25">
      <c r="A49" s="114" t="s">
        <v>92</v>
      </c>
      <c r="B49" s="115">
        <f t="shared" ref="B49:I49" si="21">B4+B23+B25+B31+B37+B43</f>
        <v>14548.463439020001</v>
      </c>
      <c r="C49" s="115">
        <f t="shared" si="21"/>
        <v>14784.025856220003</v>
      </c>
      <c r="D49" s="115">
        <f t="shared" si="21"/>
        <v>15253.660871410002</v>
      </c>
      <c r="E49" s="115">
        <f t="shared" si="21"/>
        <v>14070.993409051474</v>
      </c>
      <c r="F49" s="115">
        <f t="shared" si="21"/>
        <v>13923.703677066853</v>
      </c>
      <c r="G49" s="115">
        <f t="shared" si="21"/>
        <v>14197.508653562416</v>
      </c>
      <c r="H49" s="115">
        <f t="shared" si="21"/>
        <v>14550.742881084348</v>
      </c>
      <c r="I49" s="115">
        <f t="shared" si="21"/>
        <v>14926.922697868515</v>
      </c>
      <c r="J49" s="116">
        <f t="shared" ref="J49:O49" si="22">D49/C49-1</f>
        <v>3.1766382158511464E-2</v>
      </c>
      <c r="K49" s="116">
        <f t="shared" si="22"/>
        <v>-7.7533352309884229E-2</v>
      </c>
      <c r="L49" s="116">
        <f t="shared" si="22"/>
        <v>-1.046761431142984E-2</v>
      </c>
      <c r="M49" s="116">
        <f t="shared" si="22"/>
        <v>1.9664665583664753E-2</v>
      </c>
      <c r="N49" s="116">
        <f t="shared" si="22"/>
        <v>2.4880014947784579E-2</v>
      </c>
      <c r="O49" s="116">
        <f t="shared" si="22"/>
        <v>2.5852962962680914E-2</v>
      </c>
      <c r="P49" s="162">
        <f>((I49/D49)^(1/5)-1)</f>
        <v>-4.321247709811904E-3</v>
      </c>
    </row>
    <row r="50" spans="1:16" x14ac:dyDescent="0.25">
      <c r="B50" s="209" t="s">
        <v>97</v>
      </c>
      <c r="C50" s="212">
        <f>'Détail CHG PDT'!B6</f>
        <v>14784.025856220003</v>
      </c>
      <c r="D50" s="212">
        <f>'Détail CHG PDT'!C6</f>
        <v>15253.660871410004</v>
      </c>
      <c r="E50" s="212">
        <f>'Détail CHG PDT'!D6</f>
        <v>14070.993409051473</v>
      </c>
      <c r="F50" s="212">
        <f>'Détail CHG PDT'!E6</f>
        <v>13923.703677066853</v>
      </c>
      <c r="G50" s="241">
        <f>'Détail CHG PDT'!F6</f>
        <v>14197.508653562416</v>
      </c>
      <c r="H50" s="241">
        <f>'Détail CHG PDT'!G6</f>
        <v>14550.742881084348</v>
      </c>
      <c r="I50" s="241">
        <f>'Détail CHG PDT'!H6</f>
        <v>14926.922697868513</v>
      </c>
    </row>
    <row r="51" spans="1:16" x14ac:dyDescent="0.25">
      <c r="E51"/>
      <c r="F51"/>
      <c r="G51"/>
      <c r="H51"/>
      <c r="I51"/>
      <c r="M51"/>
      <c r="N51"/>
    </row>
    <row r="52" spans="1:16" x14ac:dyDescent="0.25">
      <c r="E52"/>
      <c r="F52"/>
      <c r="G52"/>
      <c r="H52"/>
      <c r="I52"/>
      <c r="L52" s="186" t="s">
        <v>136</v>
      </c>
    </row>
    <row r="53" spans="1:16" x14ac:dyDescent="0.25">
      <c r="D53" s="215">
        <f>D49/C49-1</f>
        <v>3.1766382158511464E-2</v>
      </c>
    </row>
    <row r="55" spans="1:16" x14ac:dyDescent="0.25">
      <c r="A55" s="117" t="s">
        <v>105</v>
      </c>
      <c r="B55" s="81">
        <f t="shared" ref="B55:G55" si="23">D2</f>
        <v>2020</v>
      </c>
      <c r="C55" s="81">
        <f t="shared" si="23"/>
        <v>2021</v>
      </c>
      <c r="D55" s="81">
        <f t="shared" si="23"/>
        <v>2022</v>
      </c>
      <c r="E55" s="81">
        <f t="shared" si="23"/>
        <v>2023</v>
      </c>
      <c r="F55" s="81">
        <f t="shared" si="23"/>
        <v>2024</v>
      </c>
      <c r="G55" s="81">
        <f t="shared" si="23"/>
        <v>2025</v>
      </c>
      <c r="H55" s="81" t="s">
        <v>244</v>
      </c>
      <c r="J55" s="158"/>
    </row>
    <row r="56" spans="1:16" x14ac:dyDescent="0.25">
      <c r="A56" s="118" t="s">
        <v>80</v>
      </c>
      <c r="B56" s="159">
        <f t="shared" ref="B56:G56" si="24">(C4/C$49)*J4*100</f>
        <v>2.5516747345330595</v>
      </c>
      <c r="C56" s="159">
        <f t="shared" si="24"/>
        <v>-2.3335832518009929</v>
      </c>
      <c r="D56" s="159">
        <f t="shared" si="24"/>
        <v>-0.17047288808371364</v>
      </c>
      <c r="E56" s="159">
        <f t="shared" si="24"/>
        <v>2.155902633747687</v>
      </c>
      <c r="F56" s="159">
        <f t="shared" si="24"/>
        <v>2.3462127341199972</v>
      </c>
      <c r="G56" s="159">
        <f t="shared" si="24"/>
        <v>2.4446015967663466</v>
      </c>
      <c r="H56" s="498">
        <f t="shared" ref="H56:H63" si="25">AVERAGE(C56:G56)</f>
        <v>0.88853216494986476</v>
      </c>
      <c r="J56" s="158"/>
      <c r="M56"/>
      <c r="P56" s="9"/>
    </row>
    <row r="57" spans="1:16" x14ac:dyDescent="0.25">
      <c r="A57" s="118" t="s">
        <v>87</v>
      </c>
      <c r="B57" s="159">
        <f t="shared" ref="B57:G57" si="26">(C23/C$49)*J23*100</f>
        <v>0.32269405785656613</v>
      </c>
      <c r="C57" s="159">
        <f t="shared" si="26"/>
        <v>-5.4610827144996712</v>
      </c>
      <c r="D57" s="159">
        <f t="shared" si="26"/>
        <v>-0.98394579958766304</v>
      </c>
      <c r="E57" s="159">
        <f t="shared" si="26"/>
        <v>-0.29654279169384135</v>
      </c>
      <c r="F57" s="159">
        <f t="shared" si="26"/>
        <v>5.9528592384991821E-2</v>
      </c>
      <c r="G57" s="159">
        <f t="shared" si="26"/>
        <v>5.8824455272124904E-2</v>
      </c>
      <c r="H57" s="498">
        <f t="shared" si="25"/>
        <v>-1.3246436516248117</v>
      </c>
      <c r="J57" s="158"/>
      <c r="M57"/>
      <c r="P57" s="9"/>
    </row>
    <row r="58" spans="1:16" x14ac:dyDescent="0.25">
      <c r="A58" s="118" t="s">
        <v>88</v>
      </c>
      <c r="B58" s="119">
        <f t="shared" ref="B58:G58" si="27">(C25/C$49)*J25*100</f>
        <v>-3.3436088708678955E-5</v>
      </c>
      <c r="C58" s="119">
        <f t="shared" si="27"/>
        <v>1.9097735242965466E-5</v>
      </c>
      <c r="D58" s="119">
        <f t="shared" si="27"/>
        <v>-1.3161254199409521E-5</v>
      </c>
      <c r="E58" s="119">
        <f t="shared" si="27"/>
        <v>5.0732378864704245E-5</v>
      </c>
      <c r="F58" s="119">
        <f t="shared" si="27"/>
        <v>5.1404078406178547E-5</v>
      </c>
      <c r="G58" s="119">
        <f t="shared" si="27"/>
        <v>5.1819625864068633E-5</v>
      </c>
      <c r="H58" s="498">
        <f t="shared" si="25"/>
        <v>3.1978512835701474E-5</v>
      </c>
      <c r="J58" s="158"/>
      <c r="M58"/>
      <c r="P58" s="9"/>
    </row>
    <row r="59" spans="1:16" x14ac:dyDescent="0.25">
      <c r="A59" s="118" t="s">
        <v>89</v>
      </c>
      <c r="B59" s="119">
        <f t="shared" ref="B59:G59" si="28">(C31/C$49)*J31*100</f>
        <v>5.1492286837398708E-3</v>
      </c>
      <c r="C59" s="119">
        <f t="shared" si="28"/>
        <v>0</v>
      </c>
      <c r="D59" s="119">
        <f t="shared" si="28"/>
        <v>0</v>
      </c>
      <c r="E59" s="119">
        <f t="shared" si="28"/>
        <v>0</v>
      </c>
      <c r="F59" s="119">
        <f t="shared" si="28"/>
        <v>0</v>
      </c>
      <c r="G59" s="119">
        <f t="shared" si="28"/>
        <v>0</v>
      </c>
      <c r="H59" s="498">
        <f t="shared" si="25"/>
        <v>0</v>
      </c>
      <c r="J59" s="158"/>
      <c r="M59"/>
      <c r="P59" s="9"/>
    </row>
    <row r="60" spans="1:16" x14ac:dyDescent="0.25">
      <c r="A60" s="118" t="s">
        <v>90</v>
      </c>
      <c r="B60" s="119">
        <f t="shared" ref="B60:G60" si="29">(C37/C$49)*J37*100</f>
        <v>0.29212930408823296</v>
      </c>
      <c r="C60" s="119">
        <f t="shared" si="29"/>
        <v>0.10774455702937943</v>
      </c>
      <c r="D60" s="119">
        <f t="shared" si="29"/>
        <v>0.16019520589313216</v>
      </c>
      <c r="E60" s="119">
        <f t="shared" si="29"/>
        <v>0.16604635974950271</v>
      </c>
      <c r="F60" s="119">
        <f t="shared" si="29"/>
        <v>0.13875686968397302</v>
      </c>
      <c r="G60" s="119">
        <f t="shared" si="29"/>
        <v>0.13575611437387619</v>
      </c>
      <c r="H60" s="498">
        <f t="shared" si="25"/>
        <v>0.14169982134597273</v>
      </c>
      <c r="J60" s="158"/>
      <c r="M60"/>
      <c r="P60" s="9"/>
    </row>
    <row r="61" spans="1:16" x14ac:dyDescent="0.25">
      <c r="A61" s="118" t="s">
        <v>91</v>
      </c>
      <c r="B61" s="119">
        <f t="shared" ref="B61:G61" si="30">(C43/C$49)*J43*100</f>
        <v>5.0243267782675224E-3</v>
      </c>
      <c r="C61" s="119">
        <f t="shared" si="30"/>
        <v>-6.6432919452385539E-2</v>
      </c>
      <c r="D61" s="119">
        <f t="shared" si="30"/>
        <v>-5.2524788110533793E-2</v>
      </c>
      <c r="E61" s="119">
        <f t="shared" si="30"/>
        <v>-5.8990375815737829E-2</v>
      </c>
      <c r="F61" s="119">
        <f t="shared" si="30"/>
        <v>-5.6548105488895675E-2</v>
      </c>
      <c r="G61" s="119">
        <f t="shared" si="30"/>
        <v>-5.3937689770124662E-2</v>
      </c>
      <c r="H61" s="498">
        <f t="shared" si="25"/>
        <v>-5.76867757275355E-2</v>
      </c>
      <c r="J61" s="158"/>
      <c r="M61"/>
      <c r="P61" s="9"/>
    </row>
    <row r="62" spans="1:16" ht="13" x14ac:dyDescent="0.3">
      <c r="A62" s="118" t="s">
        <v>93</v>
      </c>
      <c r="B62" s="120">
        <f t="shared" ref="B62:G62" si="31">(C49/C$49)*J49*100</f>
        <v>3.1766382158511464</v>
      </c>
      <c r="C62" s="120">
        <f t="shared" si="31"/>
        <v>-7.7533352309884229</v>
      </c>
      <c r="D62" s="120">
        <f t="shared" si="31"/>
        <v>-1.046761431142984</v>
      </c>
      <c r="E62" s="120">
        <f t="shared" si="31"/>
        <v>1.9664665583664753</v>
      </c>
      <c r="F62" s="120">
        <f t="shared" si="31"/>
        <v>2.4880014947784579</v>
      </c>
      <c r="G62" s="120">
        <f t="shared" si="31"/>
        <v>2.5852962962680914</v>
      </c>
      <c r="H62" s="498">
        <f t="shared" si="25"/>
        <v>-0.35206646254367657</v>
      </c>
      <c r="J62" s="158"/>
      <c r="M62"/>
      <c r="P62" s="9"/>
    </row>
    <row r="63" spans="1:16" x14ac:dyDescent="0.25">
      <c r="A63" s="218" t="s">
        <v>165</v>
      </c>
      <c r="B63" s="219">
        <f>(C3/C$49)*J3*100</f>
        <v>2.5868625837738013</v>
      </c>
      <c r="C63" s="219">
        <f>(D3/D$49)*K3*100</f>
        <v>-2.3190247231652963</v>
      </c>
      <c r="D63" s="219">
        <f>(E3/E$49)*L3*100</f>
        <v>-0.18433956547233035</v>
      </c>
      <c r="E63" s="220">
        <f>(F3/F$49)*M3*100</f>
        <v>2.1691754680587394</v>
      </c>
      <c r="F63" s="219">
        <f>(G3/G$49)*N3*100</f>
        <v>2.3319894161055661</v>
      </c>
      <c r="G63" s="219">
        <f>(H45/H$3)*O3*100</f>
        <v>1.1072163497162659E-2</v>
      </c>
      <c r="H63" s="498">
        <f t="shared" si="25"/>
        <v>0.40177455180476829</v>
      </c>
    </row>
    <row r="66" spans="1:9" x14ac:dyDescent="0.25">
      <c r="A66" s="165" t="s">
        <v>120</v>
      </c>
      <c r="B66" s="174">
        <f t="shared" ref="B66:G66" si="32">B55</f>
        <v>2020</v>
      </c>
      <c r="C66" s="174">
        <f t="shared" si="32"/>
        <v>2021</v>
      </c>
      <c r="D66" s="174">
        <f t="shared" si="32"/>
        <v>2022</v>
      </c>
      <c r="E66" s="174">
        <f t="shared" si="32"/>
        <v>2023</v>
      </c>
      <c r="F66" s="174">
        <f t="shared" si="32"/>
        <v>2024</v>
      </c>
      <c r="G66" s="174">
        <f t="shared" si="32"/>
        <v>2025</v>
      </c>
    </row>
    <row r="67" spans="1:9" x14ac:dyDescent="0.25">
      <c r="A67" s="165" t="s">
        <v>121</v>
      </c>
      <c r="B67" s="173">
        <f t="shared" ref="B67:G67" si="33">D6+D12+D18+D26+D32+D38+D44</f>
        <v>6860.9779221400004</v>
      </c>
      <c r="C67" s="173">
        <f t="shared" si="33"/>
        <v>5655.4888443600257</v>
      </c>
      <c r="D67" s="173">
        <f>F6+F12+F18+F26+F32+F38+F44</f>
        <v>5397.4989718080587</v>
      </c>
      <c r="E67" s="173">
        <f t="shared" si="33"/>
        <v>5475.0277626041907</v>
      </c>
      <c r="F67" s="173">
        <f t="shared" si="33"/>
        <v>5583.7824879056579</v>
      </c>
      <c r="G67" s="173">
        <f t="shared" si="33"/>
        <v>5699.9184663810029</v>
      </c>
    </row>
    <row r="68" spans="1:9" x14ac:dyDescent="0.25">
      <c r="A68" s="165" t="s">
        <v>102</v>
      </c>
      <c r="B68" s="173">
        <f>D7+D13+D19+D27+D33+D39+D45</f>
        <v>702.02691303999995</v>
      </c>
      <c r="C68" s="173">
        <f>E7+E13+E19+E27+E33+E39+E45</f>
        <v>722.91168203766256</v>
      </c>
      <c r="D68" s="173">
        <f>F7+F13+F19+F27+F33+F39+F45</f>
        <v>732.05742606339709</v>
      </c>
      <c r="E68" s="173">
        <f t="shared" ref="E68:G70" si="34">G7+G13+G19+G27+G33+G39+G45</f>
        <v>742.99740169465338</v>
      </c>
      <c r="F68" s="173">
        <f t="shared" si="34"/>
        <v>752.17253882048067</v>
      </c>
      <c r="G68" s="173">
        <f t="shared" si="34"/>
        <v>761.50555599958648</v>
      </c>
    </row>
    <row r="69" spans="1:9" x14ac:dyDescent="0.25">
      <c r="A69" s="165" t="s">
        <v>122</v>
      </c>
      <c r="B69" s="173">
        <f>D8+D14+D20+D28+D34+D40+D46</f>
        <v>986.46949825000002</v>
      </c>
      <c r="C69" s="173">
        <f t="shared" ref="B69:D70" si="35">E8+E14+E20+E28+E34+E40+E46</f>
        <v>966.79086651653483</v>
      </c>
      <c r="D69" s="173">
        <f t="shared" si="35"/>
        <v>965.58731381041707</v>
      </c>
      <c r="E69" s="173">
        <f t="shared" si="34"/>
        <v>961.37202374267554</v>
      </c>
      <c r="F69" s="173">
        <f t="shared" si="34"/>
        <v>957.94958651910179</v>
      </c>
      <c r="G69" s="173">
        <f t="shared" si="34"/>
        <v>954.67409643490737</v>
      </c>
    </row>
    <row r="70" spans="1:9" x14ac:dyDescent="0.25">
      <c r="A70" s="165" t="s">
        <v>158</v>
      </c>
      <c r="B70" s="173">
        <f t="shared" si="35"/>
        <v>6704.1865379800029</v>
      </c>
      <c r="C70" s="173">
        <f t="shared" si="35"/>
        <v>6725.8020161372497</v>
      </c>
      <c r="D70" s="173">
        <f t="shared" si="35"/>
        <v>6828.5599653849795</v>
      </c>
      <c r="E70" s="173">
        <f t="shared" si="34"/>
        <v>7018.1114655208958</v>
      </c>
      <c r="F70" s="173">
        <f t="shared" si="34"/>
        <v>7256.8382678391081</v>
      </c>
      <c r="G70" s="173">
        <f t="shared" si="34"/>
        <v>7510.8245790530164</v>
      </c>
    </row>
    <row r="71" spans="1:9" x14ac:dyDescent="0.25">
      <c r="A71" s="175" t="s">
        <v>123</v>
      </c>
      <c r="B71" s="176">
        <f t="shared" ref="B71:G71" si="36">SUM(B67:B70)</f>
        <v>15253.660871410004</v>
      </c>
      <c r="C71" s="176">
        <f t="shared" si="36"/>
        <v>14070.993409051473</v>
      </c>
      <c r="D71" s="176">
        <f t="shared" si="36"/>
        <v>13923.703677066853</v>
      </c>
      <c r="E71" s="176">
        <f t="shared" si="36"/>
        <v>14197.508653562414</v>
      </c>
      <c r="F71" s="176">
        <f t="shared" si="36"/>
        <v>14550.742881084348</v>
      </c>
      <c r="G71" s="176">
        <f t="shared" si="36"/>
        <v>14926.922697868513</v>
      </c>
    </row>
    <row r="72" spans="1:9" x14ac:dyDescent="0.25">
      <c r="E72"/>
      <c r="F72"/>
      <c r="G72"/>
      <c r="H72"/>
    </row>
    <row r="73" spans="1:9" x14ac:dyDescent="0.25">
      <c r="A73" s="504" t="s">
        <v>241</v>
      </c>
    </row>
    <row r="74" spans="1:9" ht="12.75" customHeight="1" x14ac:dyDescent="0.25">
      <c r="A74" s="496"/>
      <c r="B74" s="497">
        <v>2020</v>
      </c>
      <c r="C74" s="497">
        <v>2021</v>
      </c>
      <c r="D74" s="497"/>
      <c r="E74" s="497"/>
      <c r="F74" s="497"/>
      <c r="G74" s="497"/>
    </row>
    <row r="75" spans="1:9" x14ac:dyDescent="0.25">
      <c r="A75" s="496"/>
      <c r="B75" s="497" t="s">
        <v>243</v>
      </c>
      <c r="C75" s="497" t="s">
        <v>243</v>
      </c>
      <c r="D75" s="497" t="s">
        <v>0</v>
      </c>
      <c r="E75" s="497" t="s">
        <v>104</v>
      </c>
      <c r="F75" s="497" t="s">
        <v>246</v>
      </c>
      <c r="G75" s="497" t="s">
        <v>245</v>
      </c>
    </row>
    <row r="76" spans="1:9" x14ac:dyDescent="0.25">
      <c r="A76" s="490" t="s">
        <v>163</v>
      </c>
      <c r="B76" s="503">
        <f>TableauxNote!D42</f>
        <v>12357.206363860001</v>
      </c>
      <c r="C76" s="503">
        <f>TableauxNote!E42</f>
        <v>12003.470197064213</v>
      </c>
      <c r="D76" s="492">
        <f t="shared" ref="D76:D84" si="37">C76/B76-1</f>
        <v>-2.8625901063716874E-2</v>
      </c>
      <c r="E76" s="493">
        <f>'RESULTAT NET'!H16</f>
        <v>9.7040621170585428E-3</v>
      </c>
      <c r="F76" s="494">
        <f>H63</f>
        <v>0.40177455180476829</v>
      </c>
      <c r="G76" s="492">
        <f>B76/B84</f>
        <v>0.81011414033867524</v>
      </c>
      <c r="H76" s="484"/>
      <c r="I76" s="484"/>
    </row>
    <row r="77" spans="1:9" x14ac:dyDescent="0.25">
      <c r="A77" s="490" t="s">
        <v>164</v>
      </c>
      <c r="B77" s="491">
        <f>D23</f>
        <v>1344.5206586100003</v>
      </c>
      <c r="C77" s="491">
        <f>E23</f>
        <v>511.50562143302886</v>
      </c>
      <c r="D77" s="492">
        <f t="shared" si="37"/>
        <v>-0.61956283962060033</v>
      </c>
      <c r="E77" s="495">
        <f>P23</f>
        <v>-0.23652327994977418</v>
      </c>
      <c r="F77" s="494">
        <f>H57</f>
        <v>-1.3246436516248117</v>
      </c>
      <c r="G77" s="492">
        <f>B77/B84</f>
        <v>8.8144129461409537E-2</v>
      </c>
      <c r="H77" s="484"/>
      <c r="I77" s="484"/>
    </row>
    <row r="78" spans="1:9" x14ac:dyDescent="0.25">
      <c r="A78" s="496" t="s">
        <v>90</v>
      </c>
      <c r="B78" s="491">
        <f>D37</f>
        <v>768.3705964799999</v>
      </c>
      <c r="C78" s="491">
        <f>E37</f>
        <v>784.80558581666435</v>
      </c>
      <c r="D78" s="492">
        <f t="shared" si="37"/>
        <v>2.1389404295212744E-2</v>
      </c>
      <c r="E78" s="495">
        <f>P37</f>
        <v>2.5136541517699174E-2</v>
      </c>
      <c r="F78" s="494">
        <f>H60</f>
        <v>0.14169982134597273</v>
      </c>
      <c r="G78" s="492">
        <f>B78/B84</f>
        <v>5.0372864780294152E-2</v>
      </c>
      <c r="H78" s="484"/>
      <c r="I78" s="484"/>
    </row>
    <row r="79" spans="1:9" x14ac:dyDescent="0.25">
      <c r="A79" s="496" t="s">
        <v>91</v>
      </c>
      <c r="B79" s="491">
        <f>D43</f>
        <v>674.62064320000002</v>
      </c>
      <c r="C79" s="491">
        <f>E43</f>
        <v>664.48719095975616</v>
      </c>
      <c r="D79" s="492">
        <f t="shared" si="37"/>
        <v>-1.5020963770359552E-2</v>
      </c>
      <c r="E79" s="495">
        <f>P43</f>
        <v>-1.2653379264436215E-2</v>
      </c>
      <c r="F79" s="494">
        <f>H61</f>
        <v>-5.76867757275355E-2</v>
      </c>
      <c r="G79" s="492">
        <f>B79/B84</f>
        <v>4.4226802266493559E-2</v>
      </c>
      <c r="H79" s="484"/>
      <c r="I79" s="484"/>
    </row>
    <row r="80" spans="1:9" ht="13" x14ac:dyDescent="0.3">
      <c r="A80" s="253" t="s">
        <v>162</v>
      </c>
      <c r="B80" s="250">
        <f>SUM(B76:B79)</f>
        <v>15144.71826215</v>
      </c>
      <c r="C80" s="250">
        <f>SUM(C76:C79)</f>
        <v>13964.268595273663</v>
      </c>
      <c r="D80" s="254">
        <f t="shared" si="37"/>
        <v>-7.7944643567688043E-2</v>
      </c>
      <c r="E80" s="255">
        <f>P49</f>
        <v>-4.321247709811904E-3</v>
      </c>
      <c r="F80" s="256">
        <f>H62</f>
        <v>-0.35206646254367657</v>
      </c>
      <c r="G80" s="254"/>
    </row>
    <row r="81" spans="1:9" ht="13" x14ac:dyDescent="0.3">
      <c r="A81" s="27" t="s">
        <v>89</v>
      </c>
      <c r="B81" s="247">
        <f>D31</f>
        <v>3.9295794599999994</v>
      </c>
      <c r="C81" s="247">
        <f>E31</f>
        <v>3.9295794599999994</v>
      </c>
      <c r="D81" s="248">
        <f t="shared" si="37"/>
        <v>0</v>
      </c>
      <c r="E81" s="251">
        <f>P31</f>
        <v>0</v>
      </c>
      <c r="F81" s="249">
        <f>H59</f>
        <v>0</v>
      </c>
      <c r="G81" s="252">
        <f>B81/B84</f>
        <v>2.5761549919896449E-4</v>
      </c>
      <c r="H81" s="484"/>
      <c r="I81" s="484"/>
    </row>
    <row r="82" spans="1:9" ht="13" x14ac:dyDescent="0.3">
      <c r="A82" s="27" t="s">
        <v>88</v>
      </c>
      <c r="B82" s="250">
        <f>D25</f>
        <v>1.2555534400000001</v>
      </c>
      <c r="C82" s="250">
        <f>E25</f>
        <v>1.2584665437680818</v>
      </c>
      <c r="D82" s="248">
        <f t="shared" si="37"/>
        <v>2.3201750521122388E-3</v>
      </c>
      <c r="E82" s="251">
        <f>P25</f>
        <v>3.6313988764882232E-3</v>
      </c>
      <c r="F82" s="249">
        <f>H58</f>
        <v>3.1978512835701474E-5</v>
      </c>
      <c r="G82" s="252">
        <f>B82/B84</f>
        <v>8.2311613624063784E-5</v>
      </c>
      <c r="H82" s="484"/>
      <c r="I82" s="484"/>
    </row>
    <row r="83" spans="1:9" ht="13" x14ac:dyDescent="0.3">
      <c r="A83" s="214" t="s">
        <v>179</v>
      </c>
      <c r="B83" s="123">
        <f>D4</f>
        <v>12460.963840220002</v>
      </c>
      <c r="C83" s="123">
        <f>E4</f>
        <v>12105.006964838256</v>
      </c>
      <c r="D83" s="248">
        <f t="shared" si="37"/>
        <v>-2.8565757829489113E-2</v>
      </c>
      <c r="E83" s="216">
        <f>P4</f>
        <v>9.5896150209371367E-3</v>
      </c>
      <c r="F83" s="163">
        <f>H56</f>
        <v>0.88853216494986476</v>
      </c>
      <c r="G83" s="216">
        <f>B83/B84</f>
        <v>0.81691627637897968</v>
      </c>
    </row>
    <row r="84" spans="1:9" ht="13" x14ac:dyDescent="0.3">
      <c r="A84" s="499" t="s">
        <v>162</v>
      </c>
      <c r="B84" s="500">
        <f>B83+B77+B78+B79+B81+B82</f>
        <v>15253.660871410002</v>
      </c>
      <c r="C84" s="500">
        <f>C83+C77+C78+C79+C81+C82</f>
        <v>14070.993409051474</v>
      </c>
      <c r="D84" s="501">
        <f t="shared" si="37"/>
        <v>-7.7533352309884229E-2</v>
      </c>
      <c r="E84" s="502">
        <f>P49</f>
        <v>-4.321247709811904E-3</v>
      </c>
      <c r="F84" s="500">
        <f>H62</f>
        <v>-0.35206646254367657</v>
      </c>
      <c r="G84" s="502">
        <f>G77+G78+G79+G81+G83</f>
        <v>0.99991768838637585</v>
      </c>
    </row>
  </sheetData>
  <protectedRanges>
    <protectedRange sqref="G24:I24 G48:I48 G22:I22 G16:I16 G6:I6 G42:I42 G10:I10" name="Plage1"/>
    <protectedRange sqref="B24:F24 B6:F6 B16:F16 B22:F22 B42:F42 B48:F48 B10:F10 B7:I9 B18:I21 B26:I29 B32:I35 B38:I41 B44:I47 B12:I15" name="Plage1_1"/>
    <protectedRange sqref="B17:F17 B25:F25 B31:F31 B37:F37 B43:F43" name="Plage1_1_1"/>
  </protectedRanges>
  <mergeCells count="4">
    <mergeCell ref="A1:A2"/>
    <mergeCell ref="B1:C1"/>
    <mergeCell ref="E1:I1"/>
    <mergeCell ref="J1:O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L48"/>
  <sheetViews>
    <sheetView zoomScale="80" zoomScaleNormal="80" workbookViewId="0">
      <selection sqref="A1:B1"/>
    </sheetView>
  </sheetViews>
  <sheetFormatPr baseColWidth="10" defaultColWidth="11.453125" defaultRowHeight="14" x14ac:dyDescent="0.3"/>
  <cols>
    <col min="1" max="1" width="9.1796875" style="4" customWidth="1"/>
    <col min="2" max="2" width="17.1796875" style="4" customWidth="1"/>
    <col min="3" max="9" width="12.7265625" style="4" customWidth="1"/>
    <col min="10" max="16384" width="11.453125" style="4"/>
  </cols>
  <sheetData>
    <row r="1" spans="1:12" x14ac:dyDescent="0.3">
      <c r="A1" s="582" t="s">
        <v>32</v>
      </c>
      <c r="B1" s="582"/>
      <c r="C1" s="581" t="s">
        <v>23</v>
      </c>
      <c r="D1" s="581"/>
      <c r="E1" s="581" t="s">
        <v>1</v>
      </c>
      <c r="F1" s="581"/>
      <c r="G1" s="581"/>
      <c r="H1" s="581"/>
      <c r="I1" s="581"/>
    </row>
    <row r="2" spans="1:12" x14ac:dyDescent="0.3">
      <c r="A2" s="44"/>
      <c r="B2" s="45" t="s">
        <v>2</v>
      </c>
      <c r="C2" s="48">
        <f>TableauxNote!C4</f>
        <v>2019</v>
      </c>
      <c r="D2" s="48">
        <f>TableauxNote!D4</f>
        <v>2020</v>
      </c>
      <c r="E2" s="48" t="str">
        <f>TableauxNote!E4</f>
        <v>2021(p)</v>
      </c>
      <c r="F2" s="48" t="str">
        <f>TableauxNote!F4</f>
        <v>2022(p)</v>
      </c>
      <c r="G2" s="48" t="str">
        <f>TableauxNote!G4</f>
        <v>2023(p)</v>
      </c>
      <c r="H2" s="48" t="str">
        <f>TableauxNote!H4</f>
        <v>2024(p)</v>
      </c>
      <c r="I2" s="48" t="str">
        <f>TableauxNote!I4</f>
        <v>2025(p)</v>
      </c>
      <c r="K2"/>
      <c r="L2"/>
    </row>
    <row r="3" spans="1:12" s="9" customFormat="1" x14ac:dyDescent="0.25">
      <c r="A3" s="46"/>
      <c r="B3" s="46" t="s">
        <v>3</v>
      </c>
      <c r="C3" s="58">
        <f>TableauxNote!C5</f>
        <v>6324.7866769600014</v>
      </c>
      <c r="D3" s="58">
        <f>TableauxNote!D5</f>
        <v>6860.9779221400004</v>
      </c>
      <c r="E3" s="58">
        <f>TableauxNote!E5</f>
        <v>5655.4888443600257</v>
      </c>
      <c r="F3" s="58">
        <f>TableauxNote!F5</f>
        <v>5397.4989718080587</v>
      </c>
      <c r="G3" s="58">
        <f>TableauxNote!G5</f>
        <v>5475.0277626041907</v>
      </c>
      <c r="H3" s="58">
        <f>TableauxNote!H5</f>
        <v>5583.7824879056579</v>
      </c>
      <c r="I3" s="58">
        <f>TableauxNote!I5</f>
        <v>5699.9184663810029</v>
      </c>
      <c r="K3" s="186" t="s">
        <v>137</v>
      </c>
    </row>
    <row r="4" spans="1:12" s="9" customFormat="1" x14ac:dyDescent="0.25">
      <c r="A4" s="46"/>
      <c r="B4" s="46" t="s">
        <v>33</v>
      </c>
      <c r="C4" s="58">
        <f>TableauxNote!C6</f>
        <v>735.46909385999993</v>
      </c>
      <c r="D4" s="58">
        <f>TableauxNote!D6</f>
        <v>702.02691303999995</v>
      </c>
      <c r="E4" s="58">
        <f>TableauxNote!E6</f>
        <v>722.91168203766256</v>
      </c>
      <c r="F4" s="58">
        <f>TableauxNote!F6</f>
        <v>732.0574260633972</v>
      </c>
      <c r="G4" s="58">
        <f>TableauxNote!G6</f>
        <v>742.99740169465338</v>
      </c>
      <c r="H4" s="58">
        <f>TableauxNote!H6</f>
        <v>752.17253882048078</v>
      </c>
      <c r="I4" s="58">
        <f>TableauxNote!I6</f>
        <v>761.50555599958659</v>
      </c>
    </row>
    <row r="5" spans="1:12" s="9" customFormat="1" x14ac:dyDescent="0.25">
      <c r="A5" s="46"/>
      <c r="B5" s="46" t="s">
        <v>5</v>
      </c>
      <c r="C5" s="58">
        <f>TableauxNote!C7</f>
        <v>983.68814884999995</v>
      </c>
      <c r="D5" s="58">
        <f>TableauxNote!D7</f>
        <v>986.46949825000002</v>
      </c>
      <c r="E5" s="58">
        <f>TableauxNote!E7</f>
        <v>966.79086651653483</v>
      </c>
      <c r="F5" s="58">
        <f>TableauxNote!F7</f>
        <v>965.58731381041707</v>
      </c>
      <c r="G5" s="58">
        <f>TableauxNote!G7</f>
        <v>961.37202374267565</v>
      </c>
      <c r="H5" s="58">
        <f>TableauxNote!H7</f>
        <v>957.94958651910179</v>
      </c>
      <c r="I5" s="58">
        <f>TableauxNote!I7</f>
        <v>954.67409643490748</v>
      </c>
    </row>
    <row r="6" spans="1:12" s="9" customFormat="1" x14ac:dyDescent="0.25">
      <c r="A6" s="46"/>
      <c r="B6" s="46" t="s">
        <v>4</v>
      </c>
      <c r="C6" s="58">
        <f>TableauxNote!C8</f>
        <v>6740.081936550001</v>
      </c>
      <c r="D6" s="58">
        <f>TableauxNote!D8</f>
        <v>6704.1865379800029</v>
      </c>
      <c r="E6" s="242">
        <f>TableauxNote!E8</f>
        <v>6725.8020161372497</v>
      </c>
      <c r="F6" s="242">
        <f>TableauxNote!F8</f>
        <v>6828.5599653849795</v>
      </c>
      <c r="G6" s="242">
        <f>TableauxNote!G8</f>
        <v>7018.1114655208958</v>
      </c>
      <c r="H6" s="242">
        <f>TableauxNote!H8</f>
        <v>7256.838267839109</v>
      </c>
      <c r="I6" s="242">
        <f>TableauxNote!I8</f>
        <v>7510.8245790530164</v>
      </c>
    </row>
    <row r="7" spans="1:12" x14ac:dyDescent="0.3">
      <c r="A7" s="47" t="s">
        <v>20</v>
      </c>
      <c r="B7" s="47"/>
      <c r="C7" s="59">
        <f>TableauxNote!C9</f>
        <v>14784.025856220003</v>
      </c>
      <c r="D7" s="59">
        <f>TableauxNote!D9</f>
        <v>15253.660871410004</v>
      </c>
      <c r="E7" s="59">
        <f>TableauxNote!E9</f>
        <v>14070.993409051473</v>
      </c>
      <c r="F7" s="59">
        <f>TableauxNote!F9</f>
        <v>13923.703677066853</v>
      </c>
      <c r="G7" s="59">
        <f>TableauxNote!G9</f>
        <v>14197.508653562416</v>
      </c>
      <c r="H7" s="59">
        <f>TableauxNote!H9</f>
        <v>14550.742881084348</v>
      </c>
      <c r="I7" s="59">
        <f>TableauxNote!I9</f>
        <v>14926.922697868513</v>
      </c>
    </row>
    <row r="8" spans="1:12" s="9" customFormat="1" x14ac:dyDescent="0.25">
      <c r="A8" s="46"/>
      <c r="B8" s="46" t="s">
        <v>7</v>
      </c>
      <c r="C8" s="58">
        <f>TableauxNote!C10</f>
        <v>6324.7866769599996</v>
      </c>
      <c r="D8" s="58">
        <f>TableauxNote!D10</f>
        <v>6860.9779221400004</v>
      </c>
      <c r="E8" s="58">
        <f>TableauxNote!E10</f>
        <v>5655.4888443600275</v>
      </c>
      <c r="F8" s="58">
        <f>TableauxNote!F10</f>
        <v>5397.4989718080597</v>
      </c>
      <c r="G8" s="58">
        <f>TableauxNote!G10</f>
        <v>5475.0277626041916</v>
      </c>
      <c r="H8" s="58">
        <f>TableauxNote!H10</f>
        <v>5583.7824879056589</v>
      </c>
      <c r="I8" s="58">
        <f>TableauxNote!I10</f>
        <v>5699.9184663810038</v>
      </c>
    </row>
    <row r="9" spans="1:12" s="9" customFormat="1" x14ac:dyDescent="0.25">
      <c r="A9" s="46"/>
      <c r="B9" s="46" t="s">
        <v>34</v>
      </c>
      <c r="C9" s="58">
        <f>TableauxNote!C11</f>
        <v>767.65458391999994</v>
      </c>
      <c r="D9" s="58">
        <f>TableauxNote!D11</f>
        <v>753.43226892999985</v>
      </c>
      <c r="E9" s="58">
        <f>TableauxNote!E11</f>
        <v>750.69522219092687</v>
      </c>
      <c r="F9" s="58">
        <f>TableauxNote!F11</f>
        <v>771.07676362435848</v>
      </c>
      <c r="G9" s="58">
        <f>TableauxNote!G11</f>
        <v>784.37846419602454</v>
      </c>
      <c r="H9" s="58">
        <f>TableauxNote!H11</f>
        <v>795.87345495228192</v>
      </c>
      <c r="I9" s="58">
        <f>TableauxNote!I11</f>
        <v>807.53014592973568</v>
      </c>
    </row>
    <row r="10" spans="1:12" s="9" customFormat="1" x14ac:dyDescent="0.25">
      <c r="A10" s="46"/>
      <c r="B10" s="46" t="s">
        <v>9</v>
      </c>
      <c r="C10" s="58">
        <f>TableauxNote!C12</f>
        <v>983.68814884999995</v>
      </c>
      <c r="D10" s="58">
        <f>TableauxNote!D12</f>
        <v>986.46949825000002</v>
      </c>
      <c r="E10" s="58">
        <f>TableauxNote!E12</f>
        <v>966.79086651653483</v>
      </c>
      <c r="F10" s="58">
        <f>TableauxNote!F12</f>
        <v>965.58731381041696</v>
      </c>
      <c r="G10" s="58">
        <f>TableauxNote!G12</f>
        <v>961.37202374267565</v>
      </c>
      <c r="H10" s="58">
        <f>TableauxNote!H12</f>
        <v>957.94958651910167</v>
      </c>
      <c r="I10" s="58">
        <f>TableauxNote!I12</f>
        <v>954.67409643490737</v>
      </c>
    </row>
    <row r="11" spans="1:12" s="9" customFormat="1" x14ac:dyDescent="0.25">
      <c r="A11" s="46"/>
      <c r="B11" s="46" t="s">
        <v>8</v>
      </c>
      <c r="C11" s="58">
        <f>TableauxNote!C13</f>
        <v>6740.081936550001</v>
      </c>
      <c r="D11" s="58">
        <f>TableauxNote!D13</f>
        <v>6704.186537980001</v>
      </c>
      <c r="E11" s="242">
        <f>TableauxNote!E13</f>
        <v>6725.8020161372506</v>
      </c>
      <c r="F11" s="242">
        <f>TableauxNote!F13</f>
        <v>6828.5599653849804</v>
      </c>
      <c r="G11" s="242">
        <f>TableauxNote!G13</f>
        <v>7018.1114655208958</v>
      </c>
      <c r="H11" s="242">
        <f>TableauxNote!H13</f>
        <v>7256.838267839109</v>
      </c>
      <c r="I11" s="242">
        <f>TableauxNote!I13</f>
        <v>7510.8245790530173</v>
      </c>
    </row>
    <row r="12" spans="1:12" x14ac:dyDescent="0.3">
      <c r="A12" s="47" t="s">
        <v>10</v>
      </c>
      <c r="B12" s="47"/>
      <c r="C12" s="59">
        <f>TableauxNote!C14</f>
        <v>14816.211346280001</v>
      </c>
      <c r="D12" s="59">
        <f>TableauxNote!D14</f>
        <v>15305.066227300002</v>
      </c>
      <c r="E12" s="59">
        <f>TableauxNote!E14</f>
        <v>14098.776949204741</v>
      </c>
      <c r="F12" s="59">
        <f>TableauxNote!F14</f>
        <v>13962.723014627816</v>
      </c>
      <c r="G12" s="59">
        <f>TableauxNote!G14</f>
        <v>14238.889716063788</v>
      </c>
      <c r="H12" s="59">
        <f>TableauxNote!H14</f>
        <v>14594.44379721615</v>
      </c>
      <c r="I12" s="59">
        <f>TableauxNote!I14</f>
        <v>14972.947287798665</v>
      </c>
    </row>
    <row r="13" spans="1:12" s="15" customFormat="1" x14ac:dyDescent="0.3">
      <c r="A13" s="567" t="s">
        <v>11</v>
      </c>
      <c r="B13" s="567"/>
      <c r="C13" s="56">
        <f t="shared" ref="C13:I13" si="0">C12-C7</f>
        <v>32.185490059997392</v>
      </c>
      <c r="D13" s="56">
        <f t="shared" si="0"/>
        <v>51.405355889997736</v>
      </c>
      <c r="E13" s="56">
        <f t="shared" si="0"/>
        <v>27.783540153268405</v>
      </c>
      <c r="F13" s="56">
        <f t="shared" si="0"/>
        <v>39.019337560963322</v>
      </c>
      <c r="G13" s="56">
        <f t="shared" si="0"/>
        <v>41.381062501372071</v>
      </c>
      <c r="H13" s="56">
        <f t="shared" si="0"/>
        <v>43.700916131801932</v>
      </c>
      <c r="I13" s="56">
        <f t="shared" si="0"/>
        <v>46.024589930151706</v>
      </c>
    </row>
    <row r="14" spans="1:12" x14ac:dyDescent="0.3">
      <c r="C14" s="134"/>
      <c r="D14" s="134"/>
      <c r="E14" s="134"/>
      <c r="F14" s="134"/>
      <c r="G14" s="134"/>
      <c r="H14" s="134"/>
      <c r="I14" s="134"/>
    </row>
    <row r="16" spans="1:12" x14ac:dyDescent="0.3">
      <c r="A16" s="582" t="s">
        <v>32</v>
      </c>
      <c r="B16" s="582"/>
      <c r="C16" s="49" t="s">
        <v>23</v>
      </c>
      <c r="D16" s="580" t="s">
        <v>1</v>
      </c>
      <c r="E16" s="580"/>
      <c r="F16" s="580"/>
      <c r="G16" s="580"/>
      <c r="H16" s="580"/>
    </row>
    <row r="17" spans="1:12" x14ac:dyDescent="0.3">
      <c r="A17" s="44"/>
      <c r="B17" s="45" t="s">
        <v>0</v>
      </c>
      <c r="C17" s="49" t="str">
        <f>TableauxNote!C21</f>
        <v>2020/2019</v>
      </c>
      <c r="D17" s="203" t="str">
        <f>TableauxNote!D21</f>
        <v>2021/2020</v>
      </c>
      <c r="E17" s="203" t="str">
        <f>TableauxNote!E21</f>
        <v>2022/2021</v>
      </c>
      <c r="F17" s="203" t="str">
        <f>TableauxNote!F21</f>
        <v>2023/2022</v>
      </c>
      <c r="G17" s="203" t="str">
        <f>TableauxNote!G21</f>
        <v>2024/2023</v>
      </c>
      <c r="H17" s="203" t="str">
        <f>TableauxNote!H21</f>
        <v>2025/2024</v>
      </c>
    </row>
    <row r="18" spans="1:12" s="9" customFormat="1" x14ac:dyDescent="0.3">
      <c r="A18" s="50"/>
      <c r="B18" s="46" t="s">
        <v>3</v>
      </c>
      <c r="C18" s="51">
        <f>TableauxNote!C22</f>
        <v>8.4776178639074384E-2</v>
      </c>
      <c r="D18" s="51">
        <f>TableauxNote!D22</f>
        <v>-0.1757022237150665</v>
      </c>
      <c r="E18" s="51">
        <f>TableauxNote!E22</f>
        <v>-4.5617607894187451E-2</v>
      </c>
      <c r="F18" s="51">
        <f>TableauxNote!F22</f>
        <v>1.4363836139863473E-2</v>
      </c>
      <c r="G18" s="51">
        <f>TableauxNote!G22</f>
        <v>1.9863776042249315E-2</v>
      </c>
      <c r="H18" s="51">
        <f>TableauxNote!H22</f>
        <v>2.0798800584888921E-2</v>
      </c>
    </row>
    <row r="19" spans="1:12" s="9" customFormat="1" x14ac:dyDescent="0.3">
      <c r="A19" s="50"/>
      <c r="B19" s="46" t="s">
        <v>33</v>
      </c>
      <c r="C19" s="51">
        <f>TableauxNote!C23</f>
        <v>-4.5470545396385953E-2</v>
      </c>
      <c r="D19" s="51">
        <f>TableauxNote!D23</f>
        <v>2.9749242671089249E-2</v>
      </c>
      <c r="E19" s="51">
        <f>TableauxNote!E23</f>
        <v>1.2651260524599195E-2</v>
      </c>
      <c r="F19" s="51">
        <f>TableauxNote!F23</f>
        <v>1.4944149518549832E-2</v>
      </c>
      <c r="G19" s="51">
        <f>TableauxNote!G23</f>
        <v>1.234881455157244E-2</v>
      </c>
      <c r="H19" s="51">
        <f>TableauxNote!H23</f>
        <v>1.2408080190937865E-2</v>
      </c>
    </row>
    <row r="20" spans="1:12" s="9" customFormat="1" x14ac:dyDescent="0.3">
      <c r="A20" s="50"/>
      <c r="B20" s="46" t="s">
        <v>5</v>
      </c>
      <c r="C20" s="51">
        <f>TableauxNote!C24</f>
        <v>2.8274706808775196E-3</v>
      </c>
      <c r="D20" s="51">
        <f>TableauxNote!D24</f>
        <v>-1.9948545564130615E-2</v>
      </c>
      <c r="E20" s="51">
        <f>TableauxNote!E24</f>
        <v>-1.2448945762740804E-3</v>
      </c>
      <c r="F20" s="51">
        <f>TableauxNote!F24</f>
        <v>-4.3655193139467974E-3</v>
      </c>
      <c r="G20" s="51">
        <f>TableauxNote!G24</f>
        <v>-3.5599509233169568E-3</v>
      </c>
      <c r="H20" s="51">
        <f>TableauxNote!H24</f>
        <v>-3.4192718805761135E-3</v>
      </c>
    </row>
    <row r="21" spans="1:12" s="9" customFormat="1" x14ac:dyDescent="0.3">
      <c r="A21" s="50"/>
      <c r="B21" s="46" t="s">
        <v>4</v>
      </c>
      <c r="C21" s="51">
        <f>TableauxNote!C25</f>
        <v>-5.3256620480153227E-3</v>
      </c>
      <c r="D21" s="51">
        <f>TableauxNote!D25</f>
        <v>3.2241761226052823E-3</v>
      </c>
      <c r="E21" s="51">
        <f>TableauxNote!E25</f>
        <v>1.5278170395319757E-2</v>
      </c>
      <c r="F21" s="51">
        <f>TableauxNote!F25</f>
        <v>2.7758634484690958E-2</v>
      </c>
      <c r="G21" s="51">
        <f>TableauxNote!G25</f>
        <v>3.401581800047615E-2</v>
      </c>
      <c r="H21" s="51">
        <f>TableauxNote!H25</f>
        <v>3.4999582716280786E-2</v>
      </c>
    </row>
    <row r="22" spans="1:12" s="9" customFormat="1" x14ac:dyDescent="0.3">
      <c r="A22" s="47" t="s">
        <v>20</v>
      </c>
      <c r="B22" s="47"/>
      <c r="C22" s="52">
        <f>TableauxNote!C26</f>
        <v>3.1766382158511464E-2</v>
      </c>
      <c r="D22" s="52">
        <f>TableauxNote!D26</f>
        <v>-7.7533352309884451E-2</v>
      </c>
      <c r="E22" s="52">
        <f>TableauxNote!E26</f>
        <v>-1.0467614311429618E-2</v>
      </c>
      <c r="F22" s="52">
        <f>TableauxNote!F26</f>
        <v>1.9664665583664753E-2</v>
      </c>
      <c r="G22" s="52">
        <f>TableauxNote!G26</f>
        <v>2.4880014947784579E-2</v>
      </c>
      <c r="H22" s="52">
        <f>TableauxNote!H26</f>
        <v>2.5852962962680692E-2</v>
      </c>
      <c r="I22" s="75"/>
      <c r="K22"/>
      <c r="L22"/>
    </row>
    <row r="23" spans="1:12" s="9" customFormat="1" x14ac:dyDescent="0.3">
      <c r="A23" s="50"/>
      <c r="B23" s="46" t="s">
        <v>7</v>
      </c>
      <c r="C23" s="51">
        <f>TableauxNote!C27</f>
        <v>8.4776178639074828E-2</v>
      </c>
      <c r="D23" s="51">
        <f>TableauxNote!D27</f>
        <v>-0.17570222371506627</v>
      </c>
      <c r="E23" s="51">
        <f>TableauxNote!E27</f>
        <v>-4.5617607894187562E-2</v>
      </c>
      <c r="F23" s="51">
        <f>TableauxNote!F27</f>
        <v>1.4363836139863251E-2</v>
      </c>
      <c r="G23" s="51">
        <f>TableauxNote!G27</f>
        <v>1.9863776042249315E-2</v>
      </c>
      <c r="H23" s="51">
        <f>TableauxNote!H27</f>
        <v>2.0798800584888921E-2</v>
      </c>
      <c r="I23" s="4"/>
      <c r="K23" s="186" t="s">
        <v>138</v>
      </c>
    </row>
    <row r="24" spans="1:12" s="9" customFormat="1" x14ac:dyDescent="0.3">
      <c r="A24" s="50"/>
      <c r="B24" s="46" t="s">
        <v>34</v>
      </c>
      <c r="C24" s="51">
        <f>TableauxNote!C28</f>
        <v>-1.8526972010476817E-2</v>
      </c>
      <c r="D24" s="51">
        <f>TableauxNote!D28</f>
        <v>-3.6327707903459627E-3</v>
      </c>
      <c r="E24" s="51">
        <f>TableauxNote!E28</f>
        <v>2.7150221329433011E-2</v>
      </c>
      <c r="F24" s="51">
        <f>TableauxNote!F28</f>
        <v>1.7250812369371538E-2</v>
      </c>
      <c r="G24" s="51">
        <f>TableauxNote!G28</f>
        <v>1.4654903571376776E-2</v>
      </c>
      <c r="H24" s="51">
        <f>TableauxNote!H28</f>
        <v>1.4646412573406709E-2</v>
      </c>
      <c r="I24" s="4"/>
    </row>
    <row r="25" spans="1:12" s="9" customFormat="1" x14ac:dyDescent="0.3">
      <c r="A25" s="50"/>
      <c r="B25" s="46" t="s">
        <v>9</v>
      </c>
      <c r="C25" s="51">
        <f>TableauxNote!C29</f>
        <v>2.8274706808775196E-3</v>
      </c>
      <c r="D25" s="51">
        <f>TableauxNote!D29</f>
        <v>-1.9948545564130615E-2</v>
      </c>
      <c r="E25" s="51">
        <f>TableauxNote!E29</f>
        <v>-1.2448945762741914E-3</v>
      </c>
      <c r="F25" s="51">
        <f>TableauxNote!F29</f>
        <v>-4.3655193139466864E-3</v>
      </c>
      <c r="G25" s="51">
        <f>TableauxNote!G29</f>
        <v>-3.5599509233170679E-3</v>
      </c>
      <c r="H25" s="51">
        <f>TableauxNote!H29</f>
        <v>-3.4192718805761135E-3</v>
      </c>
      <c r="I25" s="4"/>
    </row>
    <row r="26" spans="1:12" s="9" customFormat="1" x14ac:dyDescent="0.3">
      <c r="A26" s="50"/>
      <c r="B26" s="46" t="s">
        <v>8</v>
      </c>
      <c r="C26" s="51">
        <f>TableauxNote!C30</f>
        <v>-5.3256620480156558E-3</v>
      </c>
      <c r="D26" s="51">
        <f>TableauxNote!D30</f>
        <v>3.2241761226057264E-3</v>
      </c>
      <c r="E26" s="51">
        <f>TableauxNote!E30</f>
        <v>1.5278170395319757E-2</v>
      </c>
      <c r="F26" s="51">
        <f>TableauxNote!F30</f>
        <v>2.7758634484690958E-2</v>
      </c>
      <c r="G26" s="51">
        <f>TableauxNote!G30</f>
        <v>3.401581800047615E-2</v>
      </c>
      <c r="H26" s="51">
        <f>TableauxNote!H30</f>
        <v>3.4999582716281008E-2</v>
      </c>
      <c r="I26" s="4"/>
    </row>
    <row r="27" spans="1:12" x14ac:dyDescent="0.3">
      <c r="A27" s="47" t="s">
        <v>10</v>
      </c>
      <c r="B27" s="47"/>
      <c r="C27" s="52">
        <f>TableauxNote!C31</f>
        <v>3.2994594204593497E-2</v>
      </c>
      <c r="D27" s="52">
        <f>TableauxNote!D31</f>
        <v>-7.8816338340540804E-2</v>
      </c>
      <c r="E27" s="52">
        <f>TableauxNote!E31</f>
        <v>-9.6500522752506201E-3</v>
      </c>
      <c r="F27" s="52">
        <f>TableauxNote!F31</f>
        <v>1.9778856971283565E-2</v>
      </c>
      <c r="G27" s="52">
        <f>TableauxNote!G31</f>
        <v>2.4970632418849226E-2</v>
      </c>
      <c r="H27" s="52">
        <f>TableauxNote!H31</f>
        <v>2.5934766397518461E-2</v>
      </c>
    </row>
    <row r="28" spans="1:12" s="15" customFormat="1" x14ac:dyDescent="0.3">
      <c r="A28" s="567" t="s">
        <v>11</v>
      </c>
      <c r="B28" s="567"/>
      <c r="C28" s="53">
        <f>TableauxNote!C32</f>
        <v>0.59715933466205873</v>
      </c>
      <c r="D28" s="53">
        <f>TableauxNote!D32</f>
        <v>-0.45952051741996747</v>
      </c>
      <c r="E28" s="53">
        <f>TableauxNote!E32</f>
        <v>0.40440481471088408</v>
      </c>
      <c r="F28" s="53">
        <f>TableauxNote!F32</f>
        <v>6.0527038336281924E-2</v>
      </c>
      <c r="G28" s="53">
        <f>TableauxNote!G32</f>
        <v>5.606075557757717E-2</v>
      </c>
      <c r="H28" s="53">
        <f>TableauxNote!H32</f>
        <v>5.3172198755320643E-2</v>
      </c>
      <c r="I28" s="28"/>
    </row>
    <row r="29" spans="1:12" x14ac:dyDescent="0.3">
      <c r="C29" s="134"/>
      <c r="D29" s="134"/>
      <c r="E29" s="134"/>
      <c r="F29" s="134"/>
      <c r="G29" s="134"/>
      <c r="H29" s="134"/>
    </row>
    <row r="32" spans="1:12" x14ac:dyDescent="0.3">
      <c r="A32" s="5" t="s">
        <v>6</v>
      </c>
      <c r="B32" s="5"/>
      <c r="C32" s="57">
        <f>-C7</f>
        <v>-14784.025856220003</v>
      </c>
      <c r="D32" s="57">
        <f t="shared" ref="D32:I32" si="1">-D7</f>
        <v>-15253.660871410004</v>
      </c>
      <c r="E32" s="57">
        <f t="shared" si="1"/>
        <v>-14070.993409051473</v>
      </c>
      <c r="F32" s="57">
        <f t="shared" si="1"/>
        <v>-13923.703677066853</v>
      </c>
      <c r="G32" s="57">
        <f t="shared" si="1"/>
        <v>-14197.508653562416</v>
      </c>
      <c r="H32" s="57">
        <f t="shared" si="1"/>
        <v>-14550.742881084348</v>
      </c>
      <c r="I32" s="57">
        <f t="shared" si="1"/>
        <v>-14926.922697868513</v>
      </c>
    </row>
    <row r="33" spans="1:9" x14ac:dyDescent="0.3">
      <c r="A33" s="5" t="s">
        <v>10</v>
      </c>
      <c r="B33" s="5"/>
      <c r="C33" s="57">
        <f>C12</f>
        <v>14816.211346280001</v>
      </c>
      <c r="D33" s="57">
        <f t="shared" ref="D33:I33" si="2">D12</f>
        <v>15305.066227300002</v>
      </c>
      <c r="E33" s="57">
        <f t="shared" si="2"/>
        <v>14098.776949204741</v>
      </c>
      <c r="F33" s="57">
        <f t="shared" si="2"/>
        <v>13962.723014627816</v>
      </c>
      <c r="G33" s="57">
        <f t="shared" si="2"/>
        <v>14238.889716063788</v>
      </c>
      <c r="H33" s="57">
        <f t="shared" si="2"/>
        <v>14594.44379721615</v>
      </c>
      <c r="I33" s="57">
        <f t="shared" si="2"/>
        <v>14972.947287798665</v>
      </c>
    </row>
    <row r="34" spans="1:9" x14ac:dyDescent="0.3">
      <c r="B34" s="540"/>
      <c r="C34" s="57"/>
      <c r="D34" s="57"/>
      <c r="E34" s="57"/>
      <c r="F34" s="57"/>
      <c r="G34" s="57"/>
      <c r="H34" s="57"/>
      <c r="I34" s="57"/>
    </row>
    <row r="35" spans="1:9" x14ac:dyDescent="0.3">
      <c r="A35" s="5" t="s">
        <v>6</v>
      </c>
      <c r="B35" s="539"/>
      <c r="C35" s="57">
        <f>-C32</f>
        <v>14784.025856220003</v>
      </c>
      <c r="D35" s="57">
        <f t="shared" ref="D35:I35" si="3">-D32</f>
        <v>15253.660871410004</v>
      </c>
      <c r="E35" s="57">
        <f t="shared" si="3"/>
        <v>14070.993409051473</v>
      </c>
      <c r="F35" s="57">
        <f t="shared" si="3"/>
        <v>13923.703677066853</v>
      </c>
      <c r="G35" s="57">
        <f t="shared" si="3"/>
        <v>14197.508653562416</v>
      </c>
      <c r="H35" s="57">
        <f t="shared" si="3"/>
        <v>14550.742881084348</v>
      </c>
      <c r="I35" s="57">
        <f t="shared" si="3"/>
        <v>14926.922697868513</v>
      </c>
    </row>
    <row r="38" spans="1:9" x14ac:dyDescent="0.3">
      <c r="A38" s="44"/>
      <c r="B38" s="45" t="s">
        <v>2</v>
      </c>
      <c r="C38" s="48">
        <f t="shared" ref="C38:H38" si="4">D2</f>
        <v>2020</v>
      </c>
      <c r="D38" s="48" t="str">
        <f t="shared" si="4"/>
        <v>2021(p)</v>
      </c>
      <c r="E38" s="48" t="str">
        <f t="shared" si="4"/>
        <v>2022(p)</v>
      </c>
      <c r="F38" s="48" t="str">
        <f t="shared" si="4"/>
        <v>2023(p)</v>
      </c>
      <c r="G38" s="48" t="str">
        <f t="shared" si="4"/>
        <v>2024(p)</v>
      </c>
      <c r="H38" s="48" t="str">
        <f t="shared" si="4"/>
        <v>2025(p)</v>
      </c>
    </row>
    <row r="39" spans="1:9" x14ac:dyDescent="0.3">
      <c r="A39" s="46"/>
      <c r="B39" s="46" t="s">
        <v>3</v>
      </c>
      <c r="C39" s="58">
        <f t="shared" ref="C39:D43" si="5">(C3/$D$7)*C18*100</f>
        <v>3.515164324814537</v>
      </c>
      <c r="D39" s="58">
        <f t="shared" si="5"/>
        <v>-7.9029492522639426</v>
      </c>
      <c r="E39" s="58">
        <f>(E3/$E$7)*E18*100</f>
        <v>-1.8334872674022389</v>
      </c>
      <c r="F39" s="58">
        <f>(F3/$F$7)*F18*100</f>
        <v>0.55681155383841541</v>
      </c>
      <c r="G39" s="58">
        <f>(G3/$G$7)*G18*100</f>
        <v>0.76601274177901935</v>
      </c>
      <c r="H39" s="58">
        <f>(H3/$H$7)*H18*100</f>
        <v>0.7981446681070764</v>
      </c>
    </row>
    <row r="40" spans="1:9" x14ac:dyDescent="0.3">
      <c r="A40" s="46"/>
      <c r="B40" s="46" t="s">
        <v>78</v>
      </c>
      <c r="C40" s="58">
        <f t="shared" si="5"/>
        <v>-0.21924035876974804</v>
      </c>
      <c r="D40" s="58">
        <f t="shared" si="5"/>
        <v>0.13691643713416385</v>
      </c>
      <c r="E40" s="58">
        <f>(E4/$E$7)*E19*100</f>
        <v>6.4997145260913047E-2</v>
      </c>
      <c r="F40" s="58">
        <f>(F4/$F$7)*F19*100</f>
        <v>7.8570873705642863E-2</v>
      </c>
      <c r="G40" s="58">
        <f>(G4/$G$7)*G19*100</f>
        <v>6.4624979985662759E-2</v>
      </c>
      <c r="H40" s="58">
        <f>(H4/$H$7)*H19*100</f>
        <v>6.4141173102842536E-2</v>
      </c>
    </row>
    <row r="41" spans="1:9" x14ac:dyDescent="0.3">
      <c r="A41" s="46"/>
      <c r="B41" s="46" t="s">
        <v>5</v>
      </c>
      <c r="C41" s="58">
        <f t="shared" si="5"/>
        <v>1.8233979524306526E-2</v>
      </c>
      <c r="D41" s="58">
        <f t="shared" si="5"/>
        <v>-0.12900923849925711</v>
      </c>
      <c r="E41" s="58">
        <f>(E5/$E$7)*E20*100</f>
        <v>-8.5534309563640408E-3</v>
      </c>
      <c r="F41" s="58">
        <f>(F5/$F$7)*F20*100</f>
        <v>-3.0274201214754451E-2</v>
      </c>
      <c r="G41" s="58">
        <f>(G5/$G$7)*G20*100</f>
        <v>-2.4105899894733128E-2</v>
      </c>
      <c r="H41" s="58">
        <f>(H5/$H$7)*H20*100</f>
        <v>-2.251081000443177E-2</v>
      </c>
    </row>
    <row r="42" spans="1:9" x14ac:dyDescent="0.3">
      <c r="A42" s="46"/>
      <c r="B42" s="46" t="s">
        <v>4</v>
      </c>
      <c r="C42" s="58">
        <f t="shared" si="5"/>
        <v>-0.23532317174611408</v>
      </c>
      <c r="D42" s="58">
        <f t="shared" si="5"/>
        <v>0.14170682264059556</v>
      </c>
      <c r="E42" s="58">
        <f>(E6/$E$7)*E21*100</f>
        <v>0.7302821219547212</v>
      </c>
      <c r="F42" s="58">
        <f>(F6/$F$7)*F21*100</f>
        <v>1.3613583320371712</v>
      </c>
      <c r="G42" s="58">
        <f>(G6/$G$7)*G21*100</f>
        <v>1.6814696729085126</v>
      </c>
      <c r="H42" s="58">
        <f>(H6/$H$7)*H21*100</f>
        <v>1.7455212650625791</v>
      </c>
    </row>
    <row r="43" spans="1:9" x14ac:dyDescent="0.3">
      <c r="A43" s="100" t="s">
        <v>20</v>
      </c>
      <c r="B43" s="100"/>
      <c r="C43" s="56">
        <f t="shared" si="5"/>
        <v>3.0788347738229715</v>
      </c>
      <c r="D43" s="56">
        <f t="shared" si="5"/>
        <v>-7.7533352309884451</v>
      </c>
      <c r="E43" s="56">
        <f>(E7/$E$7)*E22*100</f>
        <v>-1.0467614311429618</v>
      </c>
      <c r="F43" s="56">
        <f>(F7/$F$7)*F22*100</f>
        <v>1.9664665583664753</v>
      </c>
      <c r="G43" s="56">
        <f>(G7/$G$7)*G22*100</f>
        <v>2.4880014947784579</v>
      </c>
      <c r="H43" s="56">
        <f>(H7/$H$7)*H22*100</f>
        <v>2.5852962962680692</v>
      </c>
    </row>
    <row r="44" spans="1:9" x14ac:dyDescent="0.3">
      <c r="A44" s="46"/>
      <c r="B44" s="46" t="s">
        <v>7</v>
      </c>
      <c r="C44" s="58">
        <f t="shared" ref="C44:D48" si="6">(C8/$D$12)*C23*100</f>
        <v>3.503357889582893</v>
      </c>
      <c r="D44" s="58">
        <f t="shared" si="6"/>
        <v>-7.8764054978717706</v>
      </c>
      <c r="E44" s="58">
        <f>(E8/$E$12)*E23*100</f>
        <v>-1.829874133631995</v>
      </c>
      <c r="F44" s="58">
        <f>(F8/$F$12)*F23*100</f>
        <v>0.55525552368910835</v>
      </c>
      <c r="G44" s="58">
        <f>(G8/$G$12)*G23*100</f>
        <v>0.76378655548384478</v>
      </c>
      <c r="H44" s="58">
        <f>(H8/$H$12)*H23*100</f>
        <v>0.79575474124952505</v>
      </c>
    </row>
    <row r="45" spans="1:9" x14ac:dyDescent="0.3">
      <c r="A45" s="46"/>
      <c r="B45" s="46" t="s">
        <v>79</v>
      </c>
      <c r="C45" s="58">
        <f t="shared" si="6"/>
        <v>-9.2925537065833744E-2</v>
      </c>
      <c r="D45" s="58">
        <f t="shared" si="6"/>
        <v>-1.7883272757035534E-2</v>
      </c>
      <c r="E45" s="58">
        <f>(E9/$E$12)*E24*100</f>
        <v>0.14456247876579964</v>
      </c>
      <c r="F45" s="58">
        <f>(F9/$F$12)*F24*100</f>
        <v>9.5265805657898883E-2</v>
      </c>
      <c r="G45" s="58">
        <f>(G9/$G$12)*G24*100</f>
        <v>8.0729544125123232E-2</v>
      </c>
      <c r="H45" s="58">
        <f>(H9/$H$12)*H24*100</f>
        <v>7.9870744917851691E-2</v>
      </c>
    </row>
    <row r="46" spans="1:9" x14ac:dyDescent="0.3">
      <c r="A46" s="46"/>
      <c r="B46" s="46" t="s">
        <v>9</v>
      </c>
      <c r="C46" s="58">
        <f t="shared" si="6"/>
        <v>1.8172736783320147E-2</v>
      </c>
      <c r="D46" s="58">
        <f t="shared" si="6"/>
        <v>-0.12857593323159858</v>
      </c>
      <c r="E46" s="58">
        <f>(E10/$E$12)*E25*100</f>
        <v>-8.5365752678692314E-3</v>
      </c>
      <c r="F46" s="58">
        <f>(F10/$F$12)*F25*100</f>
        <v>-3.0189598857795832E-2</v>
      </c>
      <c r="G46" s="58">
        <f>(G10/$G$12)*G25*100</f>
        <v>-2.4035843326413783E-2</v>
      </c>
      <c r="H46" s="58">
        <f>(H10/$H$12)*H25*100</f>
        <v>-2.2443404693634639E-2</v>
      </c>
    </row>
    <row r="47" spans="1:9" x14ac:dyDescent="0.3">
      <c r="A47" s="46"/>
      <c r="B47" s="46" t="s">
        <v>8</v>
      </c>
      <c r="C47" s="58">
        <f t="shared" si="6"/>
        <v>-0.23453278827355056</v>
      </c>
      <c r="D47" s="58">
        <f t="shared" si="6"/>
        <v>0.1412308698063249</v>
      </c>
      <c r="E47" s="58">
        <f>(E11/$E$12)*E26*100</f>
        <v>0.72884300260900481</v>
      </c>
      <c r="F47" s="58">
        <f>(F11/$F$12)*F26*100</f>
        <v>1.357553966639137</v>
      </c>
      <c r="G47" s="58">
        <f>(G11/$G$12)*G26*100</f>
        <v>1.6765829856023886</v>
      </c>
      <c r="H47" s="58">
        <f>(H11/$H$12)*H26*100</f>
        <v>1.7402945582780993</v>
      </c>
    </row>
    <row r="48" spans="1:9" x14ac:dyDescent="0.3">
      <c r="A48" s="100" t="s">
        <v>10</v>
      </c>
      <c r="B48" s="100"/>
      <c r="C48" s="56">
        <f t="shared" si="6"/>
        <v>3.1940723010268375</v>
      </c>
      <c r="D48" s="56">
        <f t="shared" si="6"/>
        <v>-7.8816338340540799</v>
      </c>
      <c r="E48" s="56">
        <f>(E12/$E$12)*E27*100</f>
        <v>-0.96500522752506201</v>
      </c>
      <c r="F48" s="56">
        <f>(F12/$F$12)*F27*100</f>
        <v>1.9778856971283565</v>
      </c>
      <c r="G48" s="56">
        <f>(G12/$G$12)*G27*100</f>
        <v>2.4970632418849226</v>
      </c>
      <c r="H48" s="56">
        <f>(H12/$H$12)*H27*100</f>
        <v>2.5934766397518461</v>
      </c>
    </row>
  </sheetData>
  <mergeCells count="7">
    <mergeCell ref="D16:H16"/>
    <mergeCell ref="E1:I1"/>
    <mergeCell ref="A13:B13"/>
    <mergeCell ref="A28:B28"/>
    <mergeCell ref="C1:D1"/>
    <mergeCell ref="A1:B1"/>
    <mergeCell ref="A16:B1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0"/>
  <sheetViews>
    <sheetView zoomScale="90" zoomScaleNormal="90" workbookViewId="0">
      <selection sqref="A1:B1"/>
    </sheetView>
  </sheetViews>
  <sheetFormatPr baseColWidth="10" defaultColWidth="11.453125" defaultRowHeight="14" x14ac:dyDescent="0.3"/>
  <cols>
    <col min="1" max="1" width="9.1796875" style="4" customWidth="1"/>
    <col min="2" max="2" width="21" style="4" bestFit="1" customWidth="1"/>
    <col min="3" max="3" width="11.54296875" style="4" customWidth="1"/>
    <col min="4" max="10" width="12.7265625" style="4" customWidth="1"/>
    <col min="11" max="11" width="14.1796875" style="4" bestFit="1" customWidth="1"/>
    <col min="12" max="16384" width="11.453125" style="4"/>
  </cols>
  <sheetData>
    <row r="1" spans="1:16" x14ac:dyDescent="0.3">
      <c r="A1" s="583" t="s">
        <v>37</v>
      </c>
      <c r="B1" s="584"/>
      <c r="D1" s="586"/>
      <c r="E1" s="587"/>
      <c r="F1" s="585" t="s">
        <v>1</v>
      </c>
      <c r="G1" s="586"/>
      <c r="H1" s="586"/>
      <c r="I1" s="586"/>
      <c r="J1" s="587"/>
      <c r="L1"/>
    </row>
    <row r="2" spans="1:16" x14ac:dyDescent="0.3">
      <c r="A2" s="1"/>
      <c r="B2" s="2" t="s">
        <v>2</v>
      </c>
      <c r="C2" s="187"/>
      <c r="D2" s="3">
        <f>TableauxNote!C4</f>
        <v>2019</v>
      </c>
      <c r="E2" s="3">
        <f>TableauxNote!D4</f>
        <v>2020</v>
      </c>
      <c r="F2" s="3" t="str">
        <f>TableauxNote!E4</f>
        <v>2021(p)</v>
      </c>
      <c r="G2" s="3" t="str">
        <f>TableauxNote!F4</f>
        <v>2022(p)</v>
      </c>
      <c r="H2" s="3" t="str">
        <f>TableauxNote!G4</f>
        <v>2023(p)</v>
      </c>
      <c r="I2" s="3" t="str">
        <f>TableauxNote!H4</f>
        <v>2024(p)</v>
      </c>
      <c r="J2" s="3" t="str">
        <f>TableauxNote!I4</f>
        <v>2025(p)</v>
      </c>
      <c r="L2"/>
    </row>
    <row r="3" spans="1:16" s="9" customFormat="1" ht="12.5" x14ac:dyDescent="0.25">
      <c r="A3" s="7"/>
      <c r="B3" s="8" t="s">
        <v>12</v>
      </c>
      <c r="C3"/>
      <c r="D3" s="54">
        <f>TableauxNote!C38</f>
        <v>4783.2792869599998</v>
      </c>
      <c r="E3" s="509">
        <f>TableauxNote!D38</f>
        <v>5065.4779986799995</v>
      </c>
      <c r="F3" s="509">
        <f>TableauxNote!E38</f>
        <v>4572.0857003596229</v>
      </c>
      <c r="G3" s="509">
        <f>TableauxNote!F38</f>
        <v>4344.4189483819655</v>
      </c>
      <c r="H3" s="509">
        <f>TableauxNote!G38</f>
        <v>4407.8434192380246</v>
      </c>
      <c r="I3" s="509">
        <f>TableauxNote!H38</f>
        <v>4500.1808180819626</v>
      </c>
      <c r="J3" s="510">
        <f>TableauxNote!I38</f>
        <v>4603.6165514714985</v>
      </c>
      <c r="K3" s="512">
        <f>E3/$E$7</f>
        <v>0.40992096834237085</v>
      </c>
      <c r="L3"/>
    </row>
    <row r="4" spans="1:16" s="9" customFormat="1" ht="12.5" x14ac:dyDescent="0.25">
      <c r="A4" s="12"/>
      <c r="B4" s="13" t="s">
        <v>35</v>
      </c>
      <c r="C4" s="188"/>
      <c r="D4" s="54">
        <f>TableauxNote!C39</f>
        <v>547.48803640000006</v>
      </c>
      <c r="E4" s="509">
        <f>TableauxNote!D39</f>
        <v>541.11060888999998</v>
      </c>
      <c r="F4" s="509">
        <f>TableauxNote!E39</f>
        <v>559.4943245920673</v>
      </c>
      <c r="G4" s="509">
        <f>TableauxNote!F39</f>
        <v>564.33385321743322</v>
      </c>
      <c r="H4" s="509">
        <f>TableauxNote!G39</f>
        <v>571.88531478779919</v>
      </c>
      <c r="I4" s="509">
        <f>TableauxNote!H39</f>
        <v>579.29795106704705</v>
      </c>
      <c r="J4" s="509">
        <f>TableauxNote!I39</f>
        <v>586.57578457457043</v>
      </c>
      <c r="K4" s="512">
        <f>E4/$E$7</f>
        <v>4.378907278529693E-2</v>
      </c>
      <c r="L4"/>
    </row>
    <row r="5" spans="1:16" s="9" customFormat="1" ht="12.5" x14ac:dyDescent="0.25">
      <c r="A5" s="10"/>
      <c r="B5" s="11" t="s">
        <v>14</v>
      </c>
      <c r="C5" s="188"/>
      <c r="D5" s="54">
        <f>TableauxNote!C40</f>
        <v>667.0102851800001</v>
      </c>
      <c r="E5" s="509">
        <f>TableauxNote!D40</f>
        <v>653.26122299999997</v>
      </c>
      <c r="F5" s="509">
        <f>TableauxNote!E40</f>
        <v>639.07573271093622</v>
      </c>
      <c r="G5" s="509">
        <f>TableauxNote!F40</f>
        <v>635.27316872056565</v>
      </c>
      <c r="H5" s="509">
        <f>TableauxNote!G40</f>
        <v>631.84537850882566</v>
      </c>
      <c r="I5" s="509">
        <f>TableauxNote!H40</f>
        <v>629.21433079030419</v>
      </c>
      <c r="J5" s="509">
        <f>TableauxNote!I40</f>
        <v>626.81887738418368</v>
      </c>
      <c r="K5" s="512">
        <f>E5/$E$7</f>
        <v>5.2864798382790928E-2</v>
      </c>
      <c r="L5"/>
    </row>
    <row r="6" spans="1:16" s="9" customFormat="1" ht="12.5" x14ac:dyDescent="0.25">
      <c r="A6" s="10"/>
      <c r="B6" s="11" t="s">
        <v>13</v>
      </c>
      <c r="C6" s="188"/>
      <c r="D6" s="54">
        <f>TableauxNote!C41</f>
        <v>5976.9863220700008</v>
      </c>
      <c r="E6" s="509">
        <f>TableauxNote!D41</f>
        <v>6097.3565332900025</v>
      </c>
      <c r="F6" s="509">
        <f>TableauxNote!E41</f>
        <v>6232.8144394015862</v>
      </c>
      <c r="G6" s="509">
        <f>TableauxNote!F41</f>
        <v>6433.5058186363622</v>
      </c>
      <c r="H6" s="509">
        <f>TableauxNote!G41</f>
        <v>6667.9872408298043</v>
      </c>
      <c r="I6" s="509">
        <f>TableauxNote!H41</f>
        <v>6901.9526525768861</v>
      </c>
      <c r="J6" s="509">
        <f>TableauxNote!I41</f>
        <v>7151.5207483851455</v>
      </c>
      <c r="K6" s="512">
        <f>E6/$E$7</f>
        <v>0.49342516048954133</v>
      </c>
      <c r="L6"/>
    </row>
    <row r="7" spans="1:16" ht="15" customHeight="1" x14ac:dyDescent="0.3">
      <c r="A7" s="17" t="s">
        <v>15</v>
      </c>
      <c r="B7" s="18"/>
      <c r="C7" s="18"/>
      <c r="D7" s="55">
        <f>SUM(D3:D6)</f>
        <v>11974.763930610001</v>
      </c>
      <c r="E7" s="511">
        <f t="shared" ref="E7:J7" si="0">SUM(E3:E6)</f>
        <v>12357.206363860001</v>
      </c>
      <c r="F7" s="511">
        <f t="shared" si="0"/>
        <v>12003.470197064213</v>
      </c>
      <c r="G7" s="511">
        <f t="shared" si="0"/>
        <v>11977.531788956327</v>
      </c>
      <c r="H7" s="511">
        <f t="shared" si="0"/>
        <v>12279.561353364454</v>
      </c>
      <c r="I7" s="511">
        <f t="shared" si="0"/>
        <v>12610.6457525162</v>
      </c>
      <c r="J7" s="511">
        <f t="shared" si="0"/>
        <v>12968.531961815399</v>
      </c>
      <c r="K7" s="513">
        <f>E7/$E$7</f>
        <v>1</v>
      </c>
      <c r="L7"/>
    </row>
    <row r="8" spans="1:16" s="27" customFormat="1" ht="13" x14ac:dyDescent="0.3">
      <c r="A8" s="24" t="s">
        <v>21</v>
      </c>
      <c r="B8" s="25"/>
      <c r="C8" s="25"/>
      <c r="D8" s="222">
        <f>D7/CHARGES_PRODUITS!C7</f>
        <v>0.8099799098749495</v>
      </c>
      <c r="E8" s="222">
        <f>E7/CHARGES_PRODUITS!D7</f>
        <v>0.81011414033867513</v>
      </c>
      <c r="F8" s="222">
        <f>F7/CHARGES_PRODUITS!E7</f>
        <v>0.853064872402166</v>
      </c>
      <c r="G8" s="222">
        <f>G7/CHARGES_PRODUITS!F7</f>
        <v>0.86022599063810989</v>
      </c>
      <c r="H8" s="222">
        <f>H7/CHARGES_PRODUITS!G7</f>
        <v>0.86490958752001079</v>
      </c>
      <c r="I8" s="222">
        <f>I7/CHARGES_PRODUITS!H7</f>
        <v>0.86666679877284947</v>
      </c>
      <c r="J8" s="222">
        <f>J7/CHARGES_PRODUITS!I7</f>
        <v>0.86880144181809404</v>
      </c>
      <c r="K8" s="514"/>
      <c r="L8" s="75"/>
    </row>
    <row r="9" spans="1:16" s="9" customFormat="1" ht="12.5" x14ac:dyDescent="0.25">
      <c r="A9" s="7"/>
      <c r="B9" s="8" t="s">
        <v>16</v>
      </c>
      <c r="D9" s="54">
        <f>TableauxNote!C44</f>
        <v>1676.6181447299998</v>
      </c>
      <c r="E9" s="536">
        <f>TableauxNote!D44</f>
        <v>1381.3024069000001</v>
      </c>
      <c r="F9" s="536">
        <f>TableauxNote!E44</f>
        <v>1362.0020392014728</v>
      </c>
      <c r="G9" s="536">
        <f>TableauxNote!F44</f>
        <v>1463.1568431127841</v>
      </c>
      <c r="H9" s="536">
        <f>TableauxNote!G44</f>
        <v>1533.1966821918827</v>
      </c>
      <c r="I9" s="536">
        <f>TableauxNote!H44</f>
        <v>1573.4466016083563</v>
      </c>
      <c r="J9" s="536">
        <f>TableauxNote!I44</f>
        <v>1609.583309078123</v>
      </c>
      <c r="K9" s="515">
        <f>E9/$E$13</f>
        <v>0.25413993810963509</v>
      </c>
      <c r="M9" s="20"/>
      <c r="N9" s="20"/>
      <c r="O9" s="20"/>
      <c r="P9" s="20"/>
    </row>
    <row r="10" spans="1:16" s="9" customFormat="1" ht="12.5" x14ac:dyDescent="0.25">
      <c r="A10" s="12"/>
      <c r="B10" s="13" t="s">
        <v>36</v>
      </c>
      <c r="C10" s="188"/>
      <c r="D10" s="54">
        <f>TableauxNote!C45</f>
        <v>493.31447027000013</v>
      </c>
      <c r="E10" s="536">
        <f>TableauxNote!D45</f>
        <v>482.45909730999983</v>
      </c>
      <c r="F10" s="536">
        <f>TableauxNote!E45</f>
        <v>481.89367105615219</v>
      </c>
      <c r="G10" s="536">
        <f>TableauxNote!F45</f>
        <v>508.40510200771001</v>
      </c>
      <c r="H10" s="536">
        <f>TableauxNote!G45</f>
        <v>528.67272161242761</v>
      </c>
      <c r="I10" s="536">
        <f>TableauxNote!H45</f>
        <v>536.52273004600022</v>
      </c>
      <c r="J10" s="536">
        <f>TableauxNote!I45</f>
        <v>546.2467914634326</v>
      </c>
      <c r="K10" s="515">
        <f>E10/$E$13</f>
        <v>8.8765591457968362E-2</v>
      </c>
      <c r="M10" s="20"/>
      <c r="N10" s="20"/>
      <c r="O10" s="20"/>
      <c r="P10" s="20"/>
    </row>
    <row r="11" spans="1:16" s="9" customFormat="1" ht="12.5" x14ac:dyDescent="0.25">
      <c r="A11" s="10"/>
      <c r="B11" s="11" t="s">
        <v>18</v>
      </c>
      <c r="C11" s="188"/>
      <c r="D11" s="54">
        <f>TableauxNote!C46</f>
        <v>629.38121721999994</v>
      </c>
      <c r="E11" s="536">
        <f>TableauxNote!D46</f>
        <v>621.82517428000006</v>
      </c>
      <c r="F11" s="536">
        <f>TableauxNote!E46</f>
        <v>598.08749973164481</v>
      </c>
      <c r="G11" s="536">
        <f>TableauxNote!F46</f>
        <v>654.03354731837226</v>
      </c>
      <c r="H11" s="536">
        <f>TableauxNote!G46</f>
        <v>672.93194360115012</v>
      </c>
      <c r="I11" s="536">
        <f>TableauxNote!H46</f>
        <v>690.71981301807591</v>
      </c>
      <c r="J11" s="536">
        <f>TableauxNote!I46</f>
        <v>706.77420652742614</v>
      </c>
      <c r="K11" s="515">
        <f>E11/$E$13</f>
        <v>0.11440696151481691</v>
      </c>
      <c r="M11" s="20"/>
      <c r="N11" s="20"/>
      <c r="O11" s="20"/>
      <c r="P11" s="20"/>
    </row>
    <row r="12" spans="1:16" s="9" customFormat="1" x14ac:dyDescent="0.25">
      <c r="A12" s="10"/>
      <c r="B12" s="11" t="s">
        <v>17</v>
      </c>
      <c r="C12" s="225"/>
      <c r="D12" s="54">
        <f>TableauxNote!C47</f>
        <v>2958.6473397100003</v>
      </c>
      <c r="E12" s="536">
        <f>TableauxNote!D47</f>
        <v>2949.6173165</v>
      </c>
      <c r="F12" s="536">
        <f>TableauxNote!E47</f>
        <v>2947.253498909743</v>
      </c>
      <c r="G12" s="536">
        <f>TableauxNote!F47</f>
        <v>3101.6132387693006</v>
      </c>
      <c r="H12" s="536">
        <f>TableauxNote!G47</f>
        <v>3191.4099031101687</v>
      </c>
      <c r="I12" s="536">
        <f>TableauxNote!H47</f>
        <v>3275.8945312355036</v>
      </c>
      <c r="J12" s="536">
        <f>TableauxNote!I47</f>
        <v>3352.1392499076414</v>
      </c>
      <c r="K12" s="515">
        <f>E12/$E$13</f>
        <v>0.54268750891757966</v>
      </c>
      <c r="M12" s="20"/>
      <c r="N12" s="20"/>
      <c r="O12" s="20"/>
      <c r="P12" s="20"/>
    </row>
    <row r="13" spans="1:16" x14ac:dyDescent="0.3">
      <c r="A13" s="17" t="s">
        <v>19</v>
      </c>
      <c r="B13" s="18"/>
      <c r="C13" s="18"/>
      <c r="D13" s="55">
        <f t="shared" ref="D13:J13" si="1">SUM(D9:D12)</f>
        <v>5757.9611719300001</v>
      </c>
      <c r="E13" s="537">
        <f t="shared" si="1"/>
        <v>5435.20399499</v>
      </c>
      <c r="F13" s="537">
        <f t="shared" si="1"/>
        <v>5389.2367088990131</v>
      </c>
      <c r="G13" s="537">
        <f t="shared" si="1"/>
        <v>5727.2087312081667</v>
      </c>
      <c r="H13" s="537">
        <f t="shared" si="1"/>
        <v>5926.2112505156292</v>
      </c>
      <c r="I13" s="537">
        <f t="shared" si="1"/>
        <v>6076.5836759079357</v>
      </c>
      <c r="J13" s="538">
        <f t="shared" si="1"/>
        <v>6214.743556976623</v>
      </c>
      <c r="K13" s="515">
        <f>E13/$E$13</f>
        <v>1</v>
      </c>
      <c r="M13" s="19"/>
      <c r="N13" s="19"/>
      <c r="O13" s="19"/>
      <c r="P13" s="19"/>
    </row>
    <row r="14" spans="1:16" s="27" customFormat="1" ht="13" x14ac:dyDescent="0.3">
      <c r="A14" s="24" t="s">
        <v>22</v>
      </c>
      <c r="B14" s="25"/>
      <c r="C14" s="25"/>
      <c r="D14" s="26">
        <f>D13/TableauxNote!C14</f>
        <v>0.38862574495980629</v>
      </c>
      <c r="E14" s="26">
        <f>E13/TableauxNote!D14</f>
        <v>0.35512450023215847</v>
      </c>
      <c r="F14" s="26">
        <f>F13/TableauxNote!E14</f>
        <v>0.38224852611793392</v>
      </c>
      <c r="G14" s="26">
        <f>G13/TableauxNote!F14</f>
        <v>0.41017849635835008</v>
      </c>
      <c r="H14" s="26">
        <f>H13/TableauxNote!G14</f>
        <v>0.41619897117609511</v>
      </c>
      <c r="I14" s="26">
        <f>I13/TableauxNote!H14</f>
        <v>0.41636281315955509</v>
      </c>
      <c r="J14" s="26">
        <f>J13/TableauxNote!I14</f>
        <v>0.41506481239274567</v>
      </c>
    </row>
    <row r="15" spans="1:16" x14ac:dyDescent="0.3">
      <c r="D15" s="134"/>
      <c r="E15" s="134"/>
      <c r="F15" s="134"/>
      <c r="G15" s="134"/>
      <c r="H15" s="134"/>
      <c r="I15" s="134"/>
      <c r="J15" s="134"/>
    </row>
    <row r="16" spans="1:16" x14ac:dyDescent="0.3">
      <c r="D16" s="134"/>
      <c r="E16" s="134"/>
      <c r="F16" s="134"/>
      <c r="G16" s="134"/>
      <c r="H16" s="134"/>
      <c r="I16" s="134"/>
      <c r="J16" s="134"/>
    </row>
    <row r="17" spans="1:10" x14ac:dyDescent="0.3">
      <c r="A17" s="583" t="s">
        <v>32</v>
      </c>
      <c r="B17" s="584"/>
      <c r="C17" s="177"/>
      <c r="D17" s="16"/>
      <c r="E17" s="588" t="s">
        <v>1</v>
      </c>
      <c r="F17" s="588"/>
      <c r="G17" s="588"/>
      <c r="H17" s="588"/>
      <c r="I17" s="588"/>
    </row>
    <row r="18" spans="1:10" x14ac:dyDescent="0.3">
      <c r="A18" s="1"/>
      <c r="B18" s="2" t="s">
        <v>0</v>
      </c>
      <c r="C18" s="2"/>
      <c r="D18" s="14" t="str">
        <f>TableauxNote!C21</f>
        <v>2020/2019</v>
      </c>
      <c r="E18" s="14" t="str">
        <f>TableauxNote!D21</f>
        <v>2021/2020</v>
      </c>
      <c r="F18" s="14" t="str">
        <f>TableauxNote!E21</f>
        <v>2022/2021</v>
      </c>
      <c r="G18" s="14" t="str">
        <f>TableauxNote!F21</f>
        <v>2023/2022</v>
      </c>
      <c r="H18" s="14" t="str">
        <f>TableauxNote!G21</f>
        <v>2024/2023</v>
      </c>
      <c r="I18" s="14" t="str">
        <f>TableauxNote!H21</f>
        <v>2025/2024</v>
      </c>
    </row>
    <row r="19" spans="1:10" s="9" customFormat="1" x14ac:dyDescent="0.3">
      <c r="A19" s="7"/>
      <c r="B19" s="8" t="s">
        <v>12</v>
      </c>
      <c r="C19" s="225"/>
      <c r="D19" s="147">
        <f>(E3/D3)-1</f>
        <v>5.899691295244236E-2</v>
      </c>
      <c r="E19" s="147">
        <f t="shared" ref="E19:I23" si="2">(F3/E3)-1</f>
        <v>-9.7402910139763432E-2</v>
      </c>
      <c r="F19" s="147">
        <f t="shared" si="2"/>
        <v>-4.979494412358676E-2</v>
      </c>
      <c r="G19" s="147">
        <f t="shared" si="2"/>
        <v>1.4599068738451404E-2</v>
      </c>
      <c r="H19" s="147">
        <f t="shared" si="2"/>
        <v>2.0948429892253317E-2</v>
      </c>
      <c r="I19" s="147">
        <f t="shared" si="2"/>
        <v>2.2984794960665855E-2</v>
      </c>
      <c r="J19" s="474">
        <f>(((J3/E3))^(1/5))-1</f>
        <v>-1.8939609275185898E-2</v>
      </c>
    </row>
    <row r="20" spans="1:10" s="9" customFormat="1" x14ac:dyDescent="0.3">
      <c r="A20" s="10"/>
      <c r="B20" s="13" t="s">
        <v>35</v>
      </c>
      <c r="C20" s="13"/>
      <c r="D20" s="148">
        <f>(E4/D4)-1</f>
        <v>-1.1648523960331225E-2</v>
      </c>
      <c r="E20" s="148">
        <f t="shared" si="2"/>
        <v>3.3974044123397551E-2</v>
      </c>
      <c r="F20" s="148">
        <f t="shared" si="2"/>
        <v>8.6498261245000485E-3</v>
      </c>
      <c r="G20" s="147">
        <f t="shared" si="2"/>
        <v>1.3381195417061953E-2</v>
      </c>
      <c r="H20" s="147">
        <f t="shared" si="2"/>
        <v>1.2961753148003741E-2</v>
      </c>
      <c r="I20" s="147">
        <f t="shared" si="2"/>
        <v>1.2563195664886839E-2</v>
      </c>
      <c r="J20" s="160">
        <f>(((J4/E4))^(1/5))-1</f>
        <v>1.6266515151330152E-2</v>
      </c>
    </row>
    <row r="21" spans="1:10" s="9" customFormat="1" x14ac:dyDescent="0.3">
      <c r="A21" s="10"/>
      <c r="B21" s="11" t="s">
        <v>14</v>
      </c>
      <c r="C21" s="11"/>
      <c r="D21" s="148">
        <f>(E5/D5)-1</f>
        <v>-2.0612968773472184E-2</v>
      </c>
      <c r="E21" s="148">
        <f t="shared" si="2"/>
        <v>-2.1714881872092584E-2</v>
      </c>
      <c r="F21" s="148">
        <f t="shared" si="2"/>
        <v>-5.9500991756332722E-3</v>
      </c>
      <c r="G21" s="147">
        <f t="shared" si="2"/>
        <v>-5.3957736301747383E-3</v>
      </c>
      <c r="H21" s="147">
        <f t="shared" si="2"/>
        <v>-4.1640689447326462E-3</v>
      </c>
      <c r="I21" s="147">
        <f t="shared" si="2"/>
        <v>-3.807054748914851E-3</v>
      </c>
      <c r="J21" s="388">
        <f>(((J5/E5))^(1/5))-1</f>
        <v>-8.2298393942503711E-3</v>
      </c>
    </row>
    <row r="22" spans="1:10" s="9" customFormat="1" x14ac:dyDescent="0.3">
      <c r="A22" s="12"/>
      <c r="B22" s="11" t="s">
        <v>13</v>
      </c>
      <c r="C22" s="13"/>
      <c r="D22" s="149">
        <f>(E6/D6)-1</f>
        <v>2.0138947076980163E-2</v>
      </c>
      <c r="E22" s="149">
        <f t="shared" si="2"/>
        <v>2.221584146703881E-2</v>
      </c>
      <c r="F22" s="149">
        <f t="shared" si="2"/>
        <v>3.2199158371550185E-2</v>
      </c>
      <c r="G22" s="147">
        <f t="shared" si="2"/>
        <v>3.6446912275140075E-2</v>
      </c>
      <c r="H22" s="147">
        <f t="shared" si="2"/>
        <v>3.5087861343592763E-2</v>
      </c>
      <c r="I22" s="147">
        <f t="shared" si="2"/>
        <v>3.6159056483107133E-2</v>
      </c>
      <c r="J22" s="388">
        <f>(((J6/E6))^(1/5))-1</f>
        <v>3.2408003155553811E-2</v>
      </c>
    </row>
    <row r="23" spans="1:10" s="9" customFormat="1" x14ac:dyDescent="0.3">
      <c r="A23" s="17" t="s">
        <v>15</v>
      </c>
      <c r="B23" s="21"/>
      <c r="C23" s="21"/>
      <c r="D23" s="150">
        <f>(E7/D7)-1</f>
        <v>3.1937367238814351E-2</v>
      </c>
      <c r="E23" s="150">
        <f t="shared" si="2"/>
        <v>-2.8625901063716874E-2</v>
      </c>
      <c r="F23" s="150">
        <f t="shared" si="2"/>
        <v>-2.1609091106195022E-3</v>
      </c>
      <c r="G23" s="150">
        <f t="shared" si="2"/>
        <v>2.5216344212637187E-2</v>
      </c>
      <c r="H23" s="150">
        <f t="shared" si="2"/>
        <v>2.6962233391263135E-2</v>
      </c>
      <c r="I23" s="150">
        <f t="shared" si="2"/>
        <v>2.8379689376952788E-2</v>
      </c>
      <c r="J23" s="388">
        <f>(((J7/E7))^(1/5))-1</f>
        <v>9.7040621170585428E-3</v>
      </c>
    </row>
    <row r="24" spans="1:10" s="9" customFormat="1" x14ac:dyDescent="0.3">
      <c r="A24" s="7"/>
      <c r="B24" s="8" t="s">
        <v>16</v>
      </c>
      <c r="C24" s="224"/>
      <c r="D24" s="386">
        <f t="shared" ref="D24:I28" si="3">(E9/D9)-1</f>
        <v>-0.17613774415972161</v>
      </c>
      <c r="E24" s="386">
        <f t="shared" si="3"/>
        <v>-1.3972586742856841E-2</v>
      </c>
      <c r="F24" s="386">
        <f t="shared" si="3"/>
        <v>7.4269201513543548E-2</v>
      </c>
      <c r="G24" s="386">
        <f t="shared" si="3"/>
        <v>4.7868989171449883E-2</v>
      </c>
      <c r="H24" s="386">
        <f t="shared" si="3"/>
        <v>2.625228705747773E-2</v>
      </c>
      <c r="I24" s="386">
        <f t="shared" si="3"/>
        <v>2.2966592849625878E-2</v>
      </c>
      <c r="J24" s="388">
        <f>(((J9/E9))^(1/5))-1</f>
        <v>3.1062373030795065E-2</v>
      </c>
    </row>
    <row r="25" spans="1:10" s="9" customFormat="1" x14ac:dyDescent="0.3">
      <c r="A25" s="10"/>
      <c r="B25" s="13" t="s">
        <v>36</v>
      </c>
      <c r="C25" s="13"/>
      <c r="D25" s="387">
        <f t="shared" si="3"/>
        <v>-2.2004975759293943E-2</v>
      </c>
      <c r="E25" s="387">
        <f t="shared" si="3"/>
        <v>-1.1719672341142795E-3</v>
      </c>
      <c r="F25" s="387">
        <f t="shared" si="3"/>
        <v>5.5015105082109717E-2</v>
      </c>
      <c r="G25" s="387">
        <f t="shared" si="3"/>
        <v>3.9865098766082463E-2</v>
      </c>
      <c r="H25" s="387">
        <f t="shared" si="3"/>
        <v>1.4848521803111803E-2</v>
      </c>
      <c r="I25" s="387">
        <f t="shared" si="3"/>
        <v>1.8124230107825268E-2</v>
      </c>
      <c r="J25" s="388">
        <f>(((J10/E10))^(1/5))-1</f>
        <v>2.5145901691335348E-2</v>
      </c>
    </row>
    <row r="26" spans="1:10" s="9" customFormat="1" x14ac:dyDescent="0.3">
      <c r="A26" s="10"/>
      <c r="B26" s="11" t="s">
        <v>18</v>
      </c>
      <c r="C26" s="11"/>
      <c r="D26" s="387">
        <f t="shared" si="3"/>
        <v>-1.2005510703632427E-2</v>
      </c>
      <c r="E26" s="387">
        <f t="shared" si="3"/>
        <v>-3.817419353573237E-2</v>
      </c>
      <c r="F26" s="387">
        <f t="shared" si="3"/>
        <v>9.3541576461353637E-2</v>
      </c>
      <c r="G26" s="387">
        <f t="shared" si="3"/>
        <v>2.8895148208014643E-2</v>
      </c>
      <c r="H26" s="387">
        <f t="shared" si="3"/>
        <v>2.6433385405566057E-2</v>
      </c>
      <c r="I26" s="387">
        <f t="shared" si="3"/>
        <v>2.3242989714166606E-2</v>
      </c>
      <c r="J26" s="388">
        <f>(((J11/E11))^(1/5))-1</f>
        <v>2.5941217995440358E-2</v>
      </c>
    </row>
    <row r="27" spans="1:10" s="9" customFormat="1" x14ac:dyDescent="0.3">
      <c r="A27" s="10"/>
      <c r="B27" s="11" t="s">
        <v>17</v>
      </c>
      <c r="C27" s="11"/>
      <c r="D27" s="387">
        <f t="shared" si="3"/>
        <v>-3.0520782550871317E-3</v>
      </c>
      <c r="E27" s="387">
        <f t="shared" si="3"/>
        <v>-8.0139805832912803E-4</v>
      </c>
      <c r="F27" s="387">
        <f t="shared" si="3"/>
        <v>5.2374096736727438E-2</v>
      </c>
      <c r="G27" s="387">
        <f t="shared" si="3"/>
        <v>2.8951599515514959E-2</v>
      </c>
      <c r="H27" s="387">
        <f t="shared" si="3"/>
        <v>2.647250923267519E-2</v>
      </c>
      <c r="I27" s="387">
        <f t="shared" si="3"/>
        <v>2.3274472955447045E-2</v>
      </c>
      <c r="J27" s="388">
        <f>(((J12/E12))^(1/5))-1</f>
        <v>2.5914753536629309E-2</v>
      </c>
    </row>
    <row r="28" spans="1:10" s="9" customFormat="1" x14ac:dyDescent="0.3">
      <c r="A28" s="17" t="s">
        <v>19</v>
      </c>
      <c r="B28" s="21"/>
      <c r="C28" s="21"/>
      <c r="D28" s="150">
        <f t="shared" si="3"/>
        <v>-5.6054073187127074E-2</v>
      </c>
      <c r="E28" s="150">
        <f t="shared" si="3"/>
        <v>-8.4573249013942808E-3</v>
      </c>
      <c r="F28" s="150">
        <f t="shared" si="3"/>
        <v>6.271241004335093E-2</v>
      </c>
      <c r="G28" s="150">
        <f t="shared" si="3"/>
        <v>3.4746859883607373E-2</v>
      </c>
      <c r="H28" s="150">
        <f t="shared" si="3"/>
        <v>2.5374125058269303E-2</v>
      </c>
      <c r="I28" s="150">
        <f t="shared" si="3"/>
        <v>2.2736440150812998E-2</v>
      </c>
      <c r="J28" s="474">
        <f>(((J13/E13))^(1/5))-1</f>
        <v>2.7167980404394942E-2</v>
      </c>
    </row>
    <row r="33" spans="1:10" x14ac:dyDescent="0.3">
      <c r="A33" s="5" t="s">
        <v>15</v>
      </c>
      <c r="B33" s="6"/>
      <c r="C33" s="72"/>
      <c r="D33" s="57">
        <f>-D7</f>
        <v>-11974.763930610001</v>
      </c>
      <c r="E33" s="57">
        <f t="shared" ref="E33:J33" si="4">-E7</f>
        <v>-12357.206363860001</v>
      </c>
      <c r="F33" s="57">
        <f t="shared" si="4"/>
        <v>-12003.470197064213</v>
      </c>
      <c r="G33" s="57">
        <f t="shared" si="4"/>
        <v>-11977.531788956327</v>
      </c>
      <c r="H33" s="57">
        <f t="shared" si="4"/>
        <v>-12279.561353364454</v>
      </c>
      <c r="I33" s="57">
        <f t="shared" si="4"/>
        <v>-12610.6457525162</v>
      </c>
      <c r="J33" s="57">
        <f t="shared" si="4"/>
        <v>-12968.531961815399</v>
      </c>
    </row>
    <row r="34" spans="1:10" x14ac:dyDescent="0.3">
      <c r="A34" s="5" t="s">
        <v>19</v>
      </c>
      <c r="B34" s="6"/>
      <c r="C34" s="72"/>
      <c r="D34" s="57">
        <f>D13</f>
        <v>5757.9611719300001</v>
      </c>
      <c r="E34" s="57">
        <f t="shared" ref="E34:J34" si="5">E13</f>
        <v>5435.20399499</v>
      </c>
      <c r="F34" s="57">
        <f>F13</f>
        <v>5389.2367088990131</v>
      </c>
      <c r="G34" s="57">
        <f t="shared" si="5"/>
        <v>5727.2087312081667</v>
      </c>
      <c r="H34" s="57">
        <f t="shared" si="5"/>
        <v>5926.2112505156292</v>
      </c>
      <c r="I34" s="57">
        <f t="shared" si="5"/>
        <v>6076.5836759079357</v>
      </c>
      <c r="J34" s="57">
        <f t="shared" si="5"/>
        <v>6214.743556976623</v>
      </c>
    </row>
    <row r="35" spans="1:10" x14ac:dyDescent="0.3">
      <c r="A35" s="540"/>
      <c r="B35" s="540"/>
      <c r="D35" s="57"/>
      <c r="E35" s="57"/>
      <c r="F35" s="57"/>
      <c r="G35" s="57"/>
      <c r="H35" s="57"/>
      <c r="I35" s="57"/>
      <c r="J35" s="57"/>
    </row>
    <row r="36" spans="1:10" x14ac:dyDescent="0.3">
      <c r="A36" s="541" t="s">
        <v>15</v>
      </c>
      <c r="B36" s="539"/>
      <c r="D36" s="57">
        <f>-D33</f>
        <v>11974.763930610001</v>
      </c>
      <c r="E36" s="57">
        <f t="shared" ref="E36:J36" si="6">-E33</f>
        <v>12357.206363860001</v>
      </c>
      <c r="F36" s="57">
        <f t="shared" si="6"/>
        <v>12003.470197064213</v>
      </c>
      <c r="G36" s="57">
        <f t="shared" si="6"/>
        <v>11977.531788956327</v>
      </c>
      <c r="H36" s="57">
        <f t="shared" si="6"/>
        <v>12279.561353364454</v>
      </c>
      <c r="I36" s="57">
        <f t="shared" si="6"/>
        <v>12610.6457525162</v>
      </c>
      <c r="J36" s="57">
        <f t="shared" si="6"/>
        <v>12968.531961815399</v>
      </c>
    </row>
    <row r="37" spans="1:10" x14ac:dyDescent="0.3">
      <c r="A37" s="6" t="s">
        <v>29</v>
      </c>
      <c r="B37" s="540"/>
      <c r="D37" s="57">
        <f>D38-D36</f>
        <v>2809.2619256100024</v>
      </c>
      <c r="E37" s="57">
        <f t="shared" ref="E37:J37" si="7">E38-E36</f>
        <v>2896.4545075500027</v>
      </c>
      <c r="F37" s="57">
        <f t="shared" si="7"/>
        <v>2067.5232119872599</v>
      </c>
      <c r="G37" s="57">
        <f t="shared" si="7"/>
        <v>1946.1718881105262</v>
      </c>
      <c r="H37" s="57">
        <f t="shared" si="7"/>
        <v>1917.9473001979622</v>
      </c>
      <c r="I37" s="57">
        <f t="shared" si="7"/>
        <v>1940.097128568148</v>
      </c>
      <c r="J37" s="57">
        <f t="shared" si="7"/>
        <v>1958.3907360531139</v>
      </c>
    </row>
    <row r="38" spans="1:10" x14ac:dyDescent="0.3">
      <c r="A38" s="540" t="str">
        <f>CHARGES_PRODUITS!A35</f>
        <v xml:space="preserve">Total charges </v>
      </c>
      <c r="B38" s="540"/>
      <c r="D38" s="57">
        <f>CHARGES_PRODUITS!C7</f>
        <v>14784.025856220003</v>
      </c>
      <c r="E38" s="57">
        <f>CHARGES_PRODUITS!D7</f>
        <v>15253.660871410004</v>
      </c>
      <c r="F38" s="57">
        <f>CHARGES_PRODUITS!E7</f>
        <v>14070.993409051473</v>
      </c>
      <c r="G38" s="57">
        <f>CHARGES_PRODUITS!F7</f>
        <v>13923.703677066853</v>
      </c>
      <c r="H38" s="57">
        <f>CHARGES_PRODUITS!G7</f>
        <v>14197.508653562416</v>
      </c>
      <c r="I38" s="57">
        <f>CHARGES_PRODUITS!H7</f>
        <v>14550.742881084348</v>
      </c>
      <c r="J38" s="57">
        <f>CHARGES_PRODUITS!I7</f>
        <v>14926.922697868513</v>
      </c>
    </row>
    <row r="40" spans="1:10" x14ac:dyDescent="0.3">
      <c r="A40" s="539" t="str">
        <f>A34</f>
        <v>Total Cotisations</v>
      </c>
      <c r="B40" s="539"/>
      <c r="D40" s="57">
        <f t="shared" ref="D40:J40" si="8">D34</f>
        <v>5757.9611719300001</v>
      </c>
      <c r="E40" s="57">
        <f t="shared" si="8"/>
        <v>5435.20399499</v>
      </c>
      <c r="F40" s="57">
        <f t="shared" si="8"/>
        <v>5389.2367088990131</v>
      </c>
      <c r="G40" s="57">
        <f t="shared" si="8"/>
        <v>5727.2087312081667</v>
      </c>
      <c r="H40" s="57">
        <f t="shared" si="8"/>
        <v>5926.2112505156292</v>
      </c>
      <c r="I40" s="57">
        <f t="shared" si="8"/>
        <v>6076.5836759079357</v>
      </c>
      <c r="J40" s="57">
        <f t="shared" si="8"/>
        <v>6214.743556976623</v>
      </c>
    </row>
    <row r="41" spans="1:10" x14ac:dyDescent="0.3">
      <c r="A41" s="540" t="s">
        <v>30</v>
      </c>
      <c r="B41" s="540"/>
      <c r="D41" s="57">
        <f>D42-D40</f>
        <v>9058.2501743499997</v>
      </c>
      <c r="E41" s="57">
        <f>E42-E40</f>
        <v>9869.8622323100026</v>
      </c>
      <c r="F41" s="57">
        <f t="shared" ref="F41:J41" si="9">F42-F40</f>
        <v>8709.5402403057269</v>
      </c>
      <c r="G41" s="57">
        <f t="shared" si="9"/>
        <v>8235.5142834196486</v>
      </c>
      <c r="H41" s="57">
        <f t="shared" si="9"/>
        <v>8312.6784655481588</v>
      </c>
      <c r="I41" s="57">
        <f t="shared" si="9"/>
        <v>8517.8601213082147</v>
      </c>
      <c r="J41" s="57">
        <f t="shared" si="9"/>
        <v>8758.2037308220424</v>
      </c>
    </row>
    <row r="42" spans="1:10" x14ac:dyDescent="0.3">
      <c r="A42" s="540" t="str">
        <f>CHARGES_PRODUITS!A33</f>
        <v>Total produits</v>
      </c>
      <c r="B42" s="540"/>
      <c r="D42" s="57">
        <f>CHARGES_PRODUITS!C12</f>
        <v>14816.211346280001</v>
      </c>
      <c r="E42" s="57">
        <f>CHARGES_PRODUITS!D12</f>
        <v>15305.066227300002</v>
      </c>
      <c r="F42" s="57">
        <f>CHARGES_PRODUITS!E12</f>
        <v>14098.776949204741</v>
      </c>
      <c r="G42" s="57">
        <f>CHARGES_PRODUITS!F12</f>
        <v>13962.723014627816</v>
      </c>
      <c r="H42" s="57">
        <f>CHARGES_PRODUITS!G12</f>
        <v>14238.889716063788</v>
      </c>
      <c r="I42" s="57">
        <f>CHARGES_PRODUITS!H12</f>
        <v>14594.44379721615</v>
      </c>
      <c r="J42" s="57">
        <f>CHARGES_PRODUITS!I12</f>
        <v>14972.947287798665</v>
      </c>
    </row>
    <row r="44" spans="1:10" x14ac:dyDescent="0.3">
      <c r="A44" s="4" t="s">
        <v>133</v>
      </c>
      <c r="J44"/>
    </row>
    <row r="45" spans="1:10" x14ac:dyDescent="0.3">
      <c r="A45" s="44"/>
      <c r="B45" s="45" t="s">
        <v>2</v>
      </c>
      <c r="C45" s="48">
        <f t="shared" ref="C45:H45" si="10">E2</f>
        <v>2020</v>
      </c>
      <c r="D45" s="48" t="str">
        <f t="shared" si="10"/>
        <v>2021(p)</v>
      </c>
      <c r="E45" s="48" t="str">
        <f t="shared" si="10"/>
        <v>2022(p)</v>
      </c>
      <c r="F45" s="48" t="str">
        <f t="shared" si="10"/>
        <v>2023(p)</v>
      </c>
      <c r="G45" s="48" t="str">
        <f t="shared" si="10"/>
        <v>2024(p)</v>
      </c>
      <c r="H45" s="48" t="str">
        <f t="shared" si="10"/>
        <v>2025(p)</v>
      </c>
      <c r="J45" s="186" t="s">
        <v>139</v>
      </c>
    </row>
    <row r="46" spans="1:10" x14ac:dyDescent="0.3">
      <c r="A46" s="46"/>
      <c r="B46" s="8" t="s">
        <v>12</v>
      </c>
      <c r="C46" s="58">
        <f t="shared" ref="C46:D50" si="11">(D3/$E$7)*D19*100</f>
        <v>2.2836772601396431</v>
      </c>
      <c r="D46" s="58">
        <f t="shared" si="11"/>
        <v>-3.9927495243856761</v>
      </c>
      <c r="E46" s="58">
        <f>(F3/$F$7)*F19*100</f>
        <v>-1.8966744469723413</v>
      </c>
      <c r="F46" s="58">
        <f>(G3/$G$7)*G19*100</f>
        <v>0.52952872072139678</v>
      </c>
      <c r="G46" s="58">
        <f>(H3/$H$7)*H19*100</f>
        <v>0.75196007566376588</v>
      </c>
      <c r="H46" s="58">
        <f>(I3/$I$7)*I19*100</f>
        <v>0.82022550961672147</v>
      </c>
    </row>
    <row r="47" spans="1:10" x14ac:dyDescent="0.3">
      <c r="A47" s="46"/>
      <c r="B47" s="13" t="s">
        <v>35</v>
      </c>
      <c r="C47" s="58">
        <f t="shared" si="11"/>
        <v>-5.1608974732764656E-2</v>
      </c>
      <c r="D47" s="58">
        <f t="shared" si="11"/>
        <v>0.14876918909303449</v>
      </c>
      <c r="E47" s="58">
        <f>(F4/$F$7)*F20*100</f>
        <v>4.0317746001065732E-2</v>
      </c>
      <c r="F47" s="58">
        <f>(G4/$G$7)*G20*100</f>
        <v>6.3046892326587042E-2</v>
      </c>
      <c r="G47" s="58">
        <f>(H4/$H$7)*H20*100</f>
        <v>6.0365643901578718E-2</v>
      </c>
      <c r="H47" s="58">
        <f>(I4/$I$7)*I20*100</f>
        <v>5.7711822616785577E-2</v>
      </c>
    </row>
    <row r="48" spans="1:10" x14ac:dyDescent="0.3">
      <c r="A48" s="46"/>
      <c r="B48" s="11" t="s">
        <v>14</v>
      </c>
      <c r="C48" s="58">
        <f t="shared" si="11"/>
        <v>-0.11126351519232333</v>
      </c>
      <c r="D48" s="58">
        <f t="shared" si="11"/>
        <v>-0.11479528520742961</v>
      </c>
      <c r="E48" s="58">
        <f>(F5/$F$7)*F21*100</f>
        <v>-3.167887225896221E-2</v>
      </c>
      <c r="F48" s="58">
        <f>(G5/$G$7)*G21*100</f>
        <v>-2.8618502310304949E-2</v>
      </c>
      <c r="G48" s="58">
        <f>(H5/$H$7)*H21*100</f>
        <v>-2.1426235374446573E-2</v>
      </c>
      <c r="H48" s="58">
        <f>(I5/$I$7)*I21*100</f>
        <v>-1.8995485664503285E-2</v>
      </c>
    </row>
    <row r="49" spans="1:8" x14ac:dyDescent="0.3">
      <c r="A49" s="46"/>
      <c r="B49" s="11" t="s">
        <v>13</v>
      </c>
      <c r="C49" s="58">
        <f t="shared" si="11"/>
        <v>0.97408918873474415</v>
      </c>
      <c r="D49" s="58">
        <f t="shared" si="11"/>
        <v>1.0961855141283834</v>
      </c>
      <c r="E49" s="58">
        <f>(F6/$F$7)*F22*100</f>
        <v>1.6719446621682887</v>
      </c>
      <c r="F49" s="58">
        <f>(G6/$G$7)*G22*100</f>
        <v>1.9576773105260488</v>
      </c>
      <c r="G49" s="58">
        <f>(H6/$H$7)*H22*100</f>
        <v>1.9053238549354055</v>
      </c>
      <c r="H49" s="58">
        <f>(I6/$I$7)*I22*100</f>
        <v>1.9790270911262606</v>
      </c>
    </row>
    <row r="50" spans="1:8" x14ac:dyDescent="0.3">
      <c r="A50" s="100" t="s">
        <v>20</v>
      </c>
      <c r="B50" s="100"/>
      <c r="C50" s="56">
        <f t="shared" si="11"/>
        <v>3.0948939589492839</v>
      </c>
      <c r="D50" s="56">
        <f t="shared" si="11"/>
        <v>-2.8625901063716874</v>
      </c>
      <c r="E50" s="56">
        <f>(F7/$F$7)*F23*100</f>
        <v>-0.21609091106195022</v>
      </c>
      <c r="F50" s="56">
        <f>(G7/$G$7)*G23*100</f>
        <v>2.5216344212637187</v>
      </c>
      <c r="G50" s="56">
        <f>(H7/$H$7)*H23*100</f>
        <v>2.6962233391263135</v>
      </c>
      <c r="H50" s="56">
        <f>(I7/$I$7)*I23*100</f>
        <v>2.8379689376952788</v>
      </c>
    </row>
    <row r="51" spans="1:8" x14ac:dyDescent="0.3">
      <c r="A51" s="46"/>
      <c r="B51" s="8" t="s">
        <v>16</v>
      </c>
      <c r="C51" s="58">
        <f t="shared" ref="C51:D55" si="12">(D9/$E$13)*D24*100</f>
        <v>-5.4333882978856467</v>
      </c>
      <c r="D51" s="58">
        <f t="shared" si="12"/>
        <v>-0.35509923300611451</v>
      </c>
      <c r="E51" s="58">
        <f>(F9/$F$13)*F24*100</f>
        <v>1.8769783064877976</v>
      </c>
      <c r="F51" s="58">
        <f>(G9/$G$13)*G24*100</f>
        <v>1.2229314901243979</v>
      </c>
      <c r="G51" s="58">
        <f>(H9/$H$13)*H24*100</f>
        <v>0.67918468841237623</v>
      </c>
      <c r="H51" s="58">
        <f>(I9/$I$13)*I24*100</f>
        <v>0.59468789367682373</v>
      </c>
    </row>
    <row r="52" spans="1:8" x14ac:dyDescent="0.3">
      <c r="A52" s="46"/>
      <c r="B52" s="13" t="s">
        <v>36</v>
      </c>
      <c r="C52" s="58">
        <f t="shared" si="12"/>
        <v>-0.19972337689636721</v>
      </c>
      <c r="D52" s="58">
        <f t="shared" si="12"/>
        <v>-1.040303647055133E-2</v>
      </c>
      <c r="E52" s="58">
        <f>(F10/$F$13)*F25*100</f>
        <v>0.49193294678967525</v>
      </c>
      <c r="F52" s="58">
        <f>(G10/$G$13)*G25*100</f>
        <v>0.35388302672254957</v>
      </c>
      <c r="G52" s="58">
        <f>(H10/$H$13)*H25*100</f>
        <v>0.13246251444191381</v>
      </c>
      <c r="H52" s="58">
        <f>(I10/$I$13)*I25*100</f>
        <v>0.16002513807200064</v>
      </c>
    </row>
    <row r="53" spans="1:8" x14ac:dyDescent="0.3">
      <c r="A53" s="46"/>
      <c r="B53" s="11" t="s">
        <v>18</v>
      </c>
      <c r="C53" s="58">
        <f t="shared" si="12"/>
        <v>-0.13902041113755503</v>
      </c>
      <c r="D53" s="58">
        <f t="shared" si="12"/>
        <v>-0.43673934907017053</v>
      </c>
      <c r="E53" s="58">
        <f>(F11/$F$13)*F26*100</f>
        <v>1.0381070754295536</v>
      </c>
      <c r="F53" s="58">
        <f>(G11/$G$13)*G26*100</f>
        <v>0.32997568570879143</v>
      </c>
      <c r="G53" s="58">
        <f>(H11/$H$13)*H26*100</f>
        <v>0.30015584434959436</v>
      </c>
      <c r="H53" s="58">
        <f>(I11/$I$13)*I26*100</f>
        <v>0.26420097814174254</v>
      </c>
    </row>
    <row r="54" spans="1:8" x14ac:dyDescent="0.3">
      <c r="A54" s="46"/>
      <c r="B54" s="11" t="s">
        <v>17</v>
      </c>
      <c r="C54" s="58">
        <f t="shared" si="12"/>
        <v>-0.16613954542136547</v>
      </c>
      <c r="D54" s="58">
        <f t="shared" si="12"/>
        <v>-4.3490871592601968E-2</v>
      </c>
      <c r="E54" s="58">
        <f>(F12/$F$13)*F27*100</f>
        <v>2.8642226756280671</v>
      </c>
      <c r="F54" s="58">
        <f>(G12/$G$13)*G27*100</f>
        <v>1.567895785804986</v>
      </c>
      <c r="G54" s="58">
        <f>(H12/$H$13)*H27*100</f>
        <v>1.4256094586230641</v>
      </c>
      <c r="H54" s="58">
        <f>(I12/$I$13)*I27*100</f>
        <v>1.254730005190712</v>
      </c>
    </row>
    <row r="55" spans="1:8" x14ac:dyDescent="0.3">
      <c r="A55" s="100" t="s">
        <v>10</v>
      </c>
      <c r="B55" s="100"/>
      <c r="C55" s="56">
        <f t="shared" si="12"/>
        <v>-5.9382716313409318</v>
      </c>
      <c r="D55" s="56">
        <f t="shared" si="12"/>
        <v>-0.84573249013942808</v>
      </c>
      <c r="E55" s="56">
        <f>(F13/$F$13)*F28*100</f>
        <v>6.271241004335093</v>
      </c>
      <c r="F55" s="56">
        <f>(G13/$G$13)*G28*100</f>
        <v>3.4746859883607373</v>
      </c>
      <c r="G55" s="56">
        <f>(H13/$H$13)*H28*100</f>
        <v>2.5374125058269303</v>
      </c>
      <c r="H55" s="56">
        <f>(I13/$I$13)*I28*100</f>
        <v>2.2736440150812998</v>
      </c>
    </row>
    <row r="59" spans="1:8" x14ac:dyDescent="0.3">
      <c r="B59" s="224"/>
    </row>
    <row r="60" spans="1:8" x14ac:dyDescent="0.3">
      <c r="B60" s="186"/>
    </row>
  </sheetData>
  <mergeCells count="5">
    <mergeCell ref="A1:B1"/>
    <mergeCell ref="A17:B17"/>
    <mergeCell ref="F1:J1"/>
    <mergeCell ref="D1:E1"/>
    <mergeCell ref="E17:I17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Prévisions SA</vt:lpstr>
      <vt:lpstr>EFFECTIFS</vt:lpstr>
      <vt:lpstr>TableauxNote</vt:lpstr>
      <vt:lpstr>Détail CHG PDT</vt:lpstr>
      <vt:lpstr>RESULTAT NET</vt:lpstr>
      <vt:lpstr>RETRAITE</vt:lpstr>
      <vt:lpstr>TCDC SA (Charges)</vt:lpstr>
      <vt:lpstr>CHARGES_PRODUITS</vt:lpstr>
      <vt:lpstr>Prest._cotisa.</vt:lpstr>
      <vt:lpstr>SOLDES</vt:lpstr>
      <vt:lpstr>Masse Salariale ND</vt:lpstr>
    </vt:vector>
  </TitlesOfParts>
  <Company>GETIMA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guerin.vanessa@MSAInstitution.onmicrosoft.com</dc:creator>
  <cp:lastModifiedBy>Claudine Gaillard</cp:lastModifiedBy>
  <dcterms:created xsi:type="dcterms:W3CDTF">2008-09-30T09:54:10Z</dcterms:created>
  <dcterms:modified xsi:type="dcterms:W3CDTF">2022-06-10T14:22:17Z</dcterms:modified>
</cp:coreProperties>
</file>